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81CDBCA2-DBCE-403B-8395-5E6918A7AC5F}" xr6:coauthVersionLast="45" xr6:coauthVersionMax="45" xr10:uidLastSave="{00000000-0000-0000-0000-000000000000}"/>
  <bookViews>
    <workbookView xWindow="-120" yWindow="-120" windowWidth="29040" windowHeight="15840" tabRatio="596" firstSheet="8" activeTab="16"/>
  </bookViews>
  <sheets>
    <sheet name="Intro" sheetId="22" r:id="rId1"/>
    <sheet name="US" sheetId="9" r:id="rId2"/>
    <sheet name="EU - country" sheetId="1" r:id="rId3"/>
    <sheet name="EU - variety" sheetId="2" r:id="rId4"/>
    <sheet name="Austria" sheetId="25" r:id="rId5"/>
    <sheet name="Belgium" sheetId="26" r:id="rId6"/>
    <sheet name="Czech Republic" sheetId="27" r:id="rId7"/>
    <sheet name="Denmark" sheetId="28" r:id="rId8"/>
    <sheet name="France" sheetId="35" r:id="rId9"/>
    <sheet name="Germany" sheetId="29" r:id="rId10"/>
    <sheet name="Italy" sheetId="31" r:id="rId11"/>
    <sheet name="Poland" sheetId="36" r:id="rId12"/>
    <sheet name="Portugal" sheetId="38" r:id="rId13"/>
    <sheet name="Spain" sheetId="33" r:id="rId14"/>
    <sheet name="Switzerland" sheetId="34" r:id="rId15"/>
    <sheet name="Netherlands" sheetId="32" r:id="rId16"/>
    <sheet name="UK" sheetId="30" r:id="rId17"/>
  </sheets>
  <externalReferences>
    <externalReference r:id="rId18"/>
  </externalReferences>
  <definedNames>
    <definedName name="_xlnm.Print_Area" localSheetId="2">'EU - country'!$A$18:$L$31</definedName>
    <definedName name="_xlnm.Print_Area" localSheetId="3">'EU - variety'!$A$35:$L$44</definedName>
    <definedName name="_xlnm.Print_Area" localSheetId="1">US!$A$1:$T$41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30" l="1"/>
  <c r="E12" i="30"/>
  <c r="C19" i="30"/>
  <c r="C18" i="30"/>
  <c r="C17" i="30"/>
  <c r="C16" i="30"/>
  <c r="C12" i="30"/>
  <c r="C11" i="30"/>
  <c r="C10" i="30"/>
  <c r="C9" i="30"/>
  <c r="C8" i="30"/>
  <c r="C7" i="30"/>
  <c r="C6" i="30"/>
  <c r="C5" i="30"/>
  <c r="C4" i="30"/>
  <c r="C3" i="30"/>
  <c r="C2" i="30"/>
  <c r="D5" i="32"/>
  <c r="D19" i="30"/>
  <c r="D18" i="30"/>
  <c r="D17" i="30"/>
  <c r="D16" i="30"/>
  <c r="D12" i="30"/>
  <c r="D11" i="30"/>
  <c r="D10" i="30"/>
  <c r="D9" i="30"/>
  <c r="D8" i="30"/>
  <c r="D7" i="30"/>
  <c r="D6" i="30"/>
  <c r="D5" i="30"/>
  <c r="D4" i="30"/>
  <c r="D3" i="30"/>
  <c r="D2" i="30"/>
  <c r="C26" i="29"/>
  <c r="C25" i="29"/>
  <c r="E26" i="29"/>
  <c r="C25" i="36"/>
  <c r="C24" i="36"/>
  <c r="C23" i="36"/>
  <c r="C22" i="36"/>
  <c r="C18" i="36"/>
  <c r="C17" i="36"/>
  <c r="C16" i="36"/>
  <c r="C15" i="36"/>
  <c r="C14" i="36"/>
  <c r="C13" i="36"/>
  <c r="C12" i="36"/>
  <c r="C11" i="36"/>
  <c r="C10" i="36"/>
  <c r="C9" i="36"/>
  <c r="C8" i="36"/>
  <c r="C7" i="36"/>
  <c r="C6" i="36"/>
  <c r="C5" i="36"/>
  <c r="C4" i="36"/>
  <c r="C3" i="36"/>
  <c r="C2" i="36"/>
  <c r="D18" i="36"/>
  <c r="D17" i="36"/>
  <c r="D16" i="36"/>
  <c r="D15" i="36"/>
  <c r="D14" i="36"/>
  <c r="D13" i="36"/>
  <c r="D12" i="36"/>
  <c r="D11" i="36"/>
  <c r="D10" i="36"/>
  <c r="D9" i="36"/>
  <c r="D8" i="36"/>
  <c r="D7" i="36"/>
  <c r="D6" i="36"/>
  <c r="D5" i="36"/>
  <c r="D4" i="36"/>
  <c r="D3" i="36"/>
  <c r="D2" i="36"/>
  <c r="E18" i="36"/>
  <c r="E25" i="36"/>
  <c r="B6" i="28"/>
  <c r="B7" i="28"/>
  <c r="B10" i="28"/>
  <c r="B11" i="28"/>
  <c r="B13" i="28"/>
  <c r="B14" i="28"/>
  <c r="B18" i="28"/>
  <c r="B19" i="28"/>
  <c r="B18" i="27"/>
  <c r="E43" i="2"/>
  <c r="B43" i="2"/>
  <c r="E42" i="2"/>
  <c r="E41" i="2"/>
  <c r="E40" i="2"/>
  <c r="B40" i="2"/>
  <c r="E39" i="2"/>
  <c r="C40" i="2"/>
  <c r="C39" i="2"/>
  <c r="E38" i="2"/>
  <c r="C38" i="2"/>
  <c r="E37" i="2"/>
  <c r="C42" i="2"/>
  <c r="E36" i="2"/>
  <c r="C36" i="2"/>
  <c r="F36" i="2"/>
  <c r="G36" i="2"/>
  <c r="H36" i="2"/>
  <c r="I36" i="2"/>
  <c r="J36" i="2"/>
  <c r="K36" i="2"/>
  <c r="L36" i="2"/>
  <c r="F37" i="2"/>
  <c r="G37" i="2"/>
  <c r="H37" i="2"/>
  <c r="I37" i="2"/>
  <c r="J37" i="2"/>
  <c r="K37" i="2"/>
  <c r="L37" i="2"/>
  <c r="F38" i="2"/>
  <c r="G38" i="2"/>
  <c r="H38" i="2"/>
  <c r="I38" i="2"/>
  <c r="J38" i="2"/>
  <c r="K38" i="2"/>
  <c r="L38" i="2"/>
  <c r="F39" i="2"/>
  <c r="G39" i="2"/>
  <c r="H39" i="2"/>
  <c r="I39" i="2"/>
  <c r="J39" i="2"/>
  <c r="K39" i="2"/>
  <c r="L39" i="2"/>
  <c r="F40" i="2"/>
  <c r="G40" i="2"/>
  <c r="H40" i="2"/>
  <c r="I40" i="2"/>
  <c r="J40" i="2"/>
  <c r="K40" i="2"/>
  <c r="L40" i="2"/>
  <c r="F41" i="2"/>
  <c r="G41" i="2"/>
  <c r="H41" i="2"/>
  <c r="I41" i="2"/>
  <c r="J41" i="2"/>
  <c r="K41" i="2"/>
  <c r="L41" i="2"/>
  <c r="F42" i="2"/>
  <c r="G42" i="2"/>
  <c r="H42" i="2"/>
  <c r="I42" i="2"/>
  <c r="J42" i="2"/>
  <c r="K42" i="2"/>
  <c r="L42" i="2"/>
  <c r="F43" i="2"/>
  <c r="G43" i="2"/>
  <c r="H43" i="2"/>
  <c r="I43" i="2"/>
  <c r="J43" i="2"/>
  <c r="K43" i="2"/>
  <c r="L43" i="2"/>
  <c r="C41" i="2"/>
  <c r="C37" i="2"/>
  <c r="C29" i="2"/>
  <c r="C28" i="2"/>
  <c r="C26" i="2"/>
  <c r="C23" i="2"/>
  <c r="C22" i="2"/>
  <c r="C20" i="2"/>
  <c r="C19" i="2"/>
  <c r="C16" i="2"/>
  <c r="C15" i="2"/>
  <c r="C13" i="2"/>
  <c r="C11" i="2"/>
  <c r="C9" i="2"/>
  <c r="C7" i="2"/>
  <c r="C3" i="2"/>
  <c r="C2" i="2"/>
  <c r="E30" i="1"/>
  <c r="C30" i="1"/>
  <c r="E29" i="1"/>
  <c r="C29" i="1"/>
  <c r="E28" i="1"/>
  <c r="C28" i="1"/>
  <c r="E27" i="1"/>
  <c r="C27" i="1"/>
  <c r="E26" i="1"/>
  <c r="E25" i="1"/>
  <c r="C25" i="1"/>
  <c r="E24" i="1"/>
  <c r="E23" i="1"/>
  <c r="E22" i="1"/>
  <c r="C22" i="1"/>
  <c r="E20" i="1"/>
  <c r="E19" i="1"/>
  <c r="E14" i="1"/>
  <c r="C14" i="1"/>
  <c r="E13" i="1"/>
  <c r="C13" i="1"/>
  <c r="E12" i="1"/>
  <c r="C12" i="1"/>
  <c r="E11" i="1"/>
  <c r="C11" i="1"/>
  <c r="E10" i="1"/>
  <c r="C10" i="1"/>
  <c r="E9" i="1"/>
  <c r="C9" i="1"/>
  <c r="E7" i="1"/>
  <c r="E6" i="1"/>
  <c r="E5" i="1"/>
  <c r="E4" i="1"/>
  <c r="E3" i="1"/>
  <c r="C23" i="1"/>
  <c r="C24" i="1"/>
  <c r="C26" i="1"/>
  <c r="C20" i="1"/>
  <c r="C19" i="1"/>
  <c r="C8" i="1"/>
  <c r="C7" i="1"/>
  <c r="C6" i="1"/>
  <c r="C5" i="1"/>
  <c r="C4" i="1"/>
  <c r="C3" i="1"/>
  <c r="C2" i="1"/>
  <c r="E8" i="1"/>
  <c r="E2" i="1"/>
  <c r="E20" i="31"/>
  <c r="E19" i="31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6" i="25"/>
  <c r="C5" i="25"/>
  <c r="C4" i="25"/>
  <c r="C3" i="25"/>
  <c r="C2" i="25"/>
  <c r="E21" i="25"/>
  <c r="C19" i="26"/>
  <c r="C18" i="26"/>
  <c r="C17" i="26"/>
  <c r="C16" i="26"/>
  <c r="C15" i="26"/>
  <c r="C10" i="26"/>
  <c r="C9" i="26"/>
  <c r="C8" i="26"/>
  <c r="C7" i="26"/>
  <c r="C6" i="26"/>
  <c r="C5" i="26"/>
  <c r="C4" i="26"/>
  <c r="C3" i="26"/>
  <c r="C2" i="26"/>
  <c r="D19" i="26"/>
  <c r="D18" i="26"/>
  <c r="D17" i="26"/>
  <c r="D16" i="26"/>
  <c r="D15" i="26"/>
  <c r="D10" i="26"/>
  <c r="D9" i="26"/>
  <c r="D8" i="26"/>
  <c r="D7" i="26"/>
  <c r="D6" i="26"/>
  <c r="D5" i="26"/>
  <c r="D4" i="26"/>
  <c r="D3" i="26"/>
  <c r="D2" i="26"/>
  <c r="E19" i="26"/>
  <c r="E10" i="26"/>
  <c r="C21" i="27"/>
  <c r="C20" i="27"/>
  <c r="C19" i="27"/>
  <c r="C18" i="27"/>
  <c r="C17" i="27"/>
  <c r="C16" i="27"/>
  <c r="C12" i="27"/>
  <c r="C11" i="27"/>
  <c r="C10" i="27"/>
  <c r="C9" i="27"/>
  <c r="C8" i="27"/>
  <c r="C7" i="27"/>
  <c r="C6" i="27"/>
  <c r="C5" i="27"/>
  <c r="C4" i="27"/>
  <c r="C3" i="27"/>
  <c r="C2" i="27"/>
  <c r="D21" i="27"/>
  <c r="D20" i="27"/>
  <c r="D19" i="27"/>
  <c r="D18" i="27"/>
  <c r="D17" i="27"/>
  <c r="D16" i="27"/>
  <c r="D12" i="27"/>
  <c r="D11" i="27"/>
  <c r="D10" i="27"/>
  <c r="D9" i="27"/>
  <c r="D8" i="27"/>
  <c r="D7" i="27"/>
  <c r="D6" i="27"/>
  <c r="D5" i="27"/>
  <c r="D4" i="27"/>
  <c r="D3" i="27"/>
  <c r="D2" i="27"/>
  <c r="E21" i="27"/>
  <c r="E12" i="27"/>
  <c r="E38" i="35"/>
  <c r="E26" i="35"/>
  <c r="C38" i="35"/>
  <c r="C37" i="35"/>
  <c r="C36" i="35"/>
  <c r="C35" i="35"/>
  <c r="C34" i="35"/>
  <c r="C33" i="35"/>
  <c r="C32" i="35"/>
  <c r="C31" i="35"/>
  <c r="C30" i="35"/>
  <c r="C26" i="35"/>
  <c r="C25" i="35"/>
  <c r="C24" i="35"/>
  <c r="C23" i="35"/>
  <c r="C22" i="35"/>
  <c r="C21" i="35"/>
  <c r="C20" i="35"/>
  <c r="C19" i="35"/>
  <c r="C18" i="35"/>
  <c r="C17" i="35"/>
  <c r="C16" i="35"/>
  <c r="C15" i="35"/>
  <c r="C14" i="35"/>
  <c r="C13" i="35"/>
  <c r="C12" i="35"/>
  <c r="C11" i="35"/>
  <c r="C10" i="35"/>
  <c r="C9" i="35"/>
  <c r="C8" i="35"/>
  <c r="C7" i="35"/>
  <c r="C6" i="35"/>
  <c r="C5" i="35"/>
  <c r="C4" i="35"/>
  <c r="C3" i="35"/>
  <c r="C2" i="35"/>
  <c r="D38" i="35"/>
  <c r="D37" i="35"/>
  <c r="D36" i="35"/>
  <c r="D35" i="35"/>
  <c r="D34" i="35"/>
  <c r="D33" i="35"/>
  <c r="D32" i="35"/>
  <c r="D31" i="35"/>
  <c r="D30" i="35"/>
  <c r="D26" i="35"/>
  <c r="D25" i="35"/>
  <c r="D24" i="35"/>
  <c r="D23" i="35"/>
  <c r="D22" i="35"/>
  <c r="D21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D3" i="35"/>
  <c r="D2" i="35"/>
  <c r="C15" i="32"/>
  <c r="C14" i="32"/>
  <c r="C13" i="32"/>
  <c r="C12" i="32"/>
  <c r="C8" i="32"/>
  <c r="C7" i="32"/>
  <c r="C6" i="32"/>
  <c r="C5" i="32"/>
  <c r="C4" i="32"/>
  <c r="C3" i="32"/>
  <c r="C2" i="32"/>
  <c r="D15" i="32"/>
  <c r="D14" i="32"/>
  <c r="D13" i="32"/>
  <c r="D12" i="32"/>
  <c r="D8" i="32"/>
  <c r="D7" i="32"/>
  <c r="D6" i="32"/>
  <c r="D4" i="32"/>
  <c r="D2" i="32"/>
  <c r="D3" i="32"/>
  <c r="E15" i="32"/>
  <c r="E8" i="32"/>
  <c r="E21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4" i="29"/>
  <c r="C3" i="29"/>
  <c r="C2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D3" i="29"/>
  <c r="D2" i="29"/>
  <c r="E41" i="9"/>
  <c r="C21" i="9"/>
  <c r="D32" i="9"/>
  <c r="D33" i="9"/>
  <c r="D34" i="9"/>
  <c r="D35" i="9"/>
  <c r="B32" i="9"/>
  <c r="C41" i="9"/>
  <c r="C40" i="9"/>
  <c r="C39" i="9"/>
  <c r="C38" i="9"/>
  <c r="C37" i="9"/>
  <c r="C36" i="9"/>
  <c r="C35" i="9"/>
  <c r="C34" i="9"/>
  <c r="C33" i="9"/>
  <c r="C32" i="9"/>
  <c r="C31" i="9"/>
  <c r="C27" i="9"/>
  <c r="C26" i="9"/>
  <c r="C25" i="9"/>
  <c r="C24" i="9"/>
  <c r="C23" i="9"/>
  <c r="C22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2" i="9"/>
  <c r="E27" i="9"/>
  <c r="E26" i="9"/>
  <c r="C20" i="31"/>
  <c r="C19" i="31"/>
  <c r="C18" i="31"/>
  <c r="C17" i="31"/>
  <c r="C16" i="31"/>
  <c r="C15" i="31"/>
  <c r="C14" i="31"/>
  <c r="C13" i="31"/>
  <c r="C12" i="31"/>
  <c r="C11" i="31"/>
  <c r="C10" i="31"/>
  <c r="C9" i="31"/>
  <c r="C8" i="31"/>
  <c r="C7" i="31"/>
  <c r="C6" i="31"/>
  <c r="C5" i="31"/>
  <c r="C4" i="31"/>
  <c r="C3" i="31"/>
  <c r="C2" i="31"/>
  <c r="C29" i="31"/>
  <c r="C28" i="31"/>
  <c r="C27" i="31"/>
  <c r="C26" i="31"/>
  <c r="C25" i="31"/>
  <c r="C24" i="31"/>
  <c r="D29" i="31"/>
  <c r="D28" i="31"/>
  <c r="D27" i="31"/>
  <c r="D26" i="31"/>
  <c r="D25" i="31"/>
  <c r="D24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4" i="31"/>
  <c r="D3" i="31"/>
  <c r="D2" i="31"/>
  <c r="E15" i="2"/>
  <c r="C19" i="28"/>
  <c r="C26" i="28"/>
  <c r="C25" i="28"/>
  <c r="C24" i="28"/>
  <c r="C20" i="28"/>
  <c r="C18" i="28"/>
  <c r="C17" i="28"/>
  <c r="C16" i="28"/>
  <c r="C15" i="28"/>
  <c r="C14" i="28"/>
  <c r="C13" i="28"/>
  <c r="C12" i="28"/>
  <c r="C11" i="28"/>
  <c r="C10" i="28"/>
  <c r="C9" i="28"/>
  <c r="C8" i="28"/>
  <c r="C7" i="28"/>
  <c r="C6" i="28"/>
  <c r="C5" i="28"/>
  <c r="C4" i="28"/>
  <c r="C3" i="28"/>
  <c r="C2" i="28"/>
  <c r="D27" i="28"/>
  <c r="D26" i="28"/>
  <c r="D25" i="28"/>
  <c r="D24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D3" i="28"/>
  <c r="D2" i="28"/>
  <c r="E31" i="2"/>
  <c r="C31" i="2"/>
  <c r="E30" i="2"/>
  <c r="C30" i="2"/>
  <c r="E29" i="2"/>
  <c r="E28" i="2"/>
  <c r="B28" i="2"/>
  <c r="E27" i="2"/>
  <c r="B27" i="2"/>
  <c r="E26" i="2"/>
  <c r="E25" i="2"/>
  <c r="B25" i="2"/>
  <c r="E24" i="2"/>
  <c r="C24" i="2"/>
  <c r="E23" i="2"/>
  <c r="E22" i="2"/>
  <c r="B22" i="2"/>
  <c r="E21" i="2"/>
  <c r="C21" i="2"/>
  <c r="E20" i="2"/>
  <c r="E19" i="2"/>
  <c r="E18" i="2"/>
  <c r="C18" i="2"/>
  <c r="E17" i="2"/>
  <c r="C17" i="2"/>
  <c r="E16" i="2"/>
  <c r="E14" i="2"/>
  <c r="C14" i="2"/>
  <c r="E13" i="2"/>
  <c r="E12" i="2"/>
  <c r="C12" i="2"/>
  <c r="E11" i="2"/>
  <c r="E10" i="2"/>
  <c r="C10" i="2"/>
  <c r="E9" i="2"/>
  <c r="B9" i="2"/>
  <c r="E8" i="2"/>
  <c r="C8" i="2"/>
  <c r="E7" i="2"/>
  <c r="E6" i="2"/>
  <c r="C6" i="2"/>
  <c r="E5" i="2"/>
  <c r="C5" i="2"/>
  <c r="E4" i="2"/>
  <c r="C4" i="2"/>
  <c r="E3" i="2"/>
  <c r="E2" i="2"/>
  <c r="E27" i="28"/>
  <c r="C27" i="28"/>
  <c r="E20" i="28"/>
  <c r="D8" i="33"/>
  <c r="D17" i="33"/>
  <c r="C17" i="33"/>
  <c r="C8" i="33"/>
  <c r="C16" i="33"/>
  <c r="C15" i="33"/>
  <c r="C14" i="33"/>
  <c r="C13" i="33"/>
  <c r="C12" i="33"/>
  <c r="C7" i="33"/>
  <c r="C6" i="33"/>
  <c r="C5" i="33"/>
  <c r="C4" i="33"/>
  <c r="C3" i="33"/>
  <c r="C2" i="33"/>
  <c r="D16" i="33"/>
  <c r="D15" i="33"/>
  <c r="D14" i="33"/>
  <c r="D13" i="33"/>
  <c r="D12" i="33"/>
  <c r="D7" i="33"/>
  <c r="D6" i="33"/>
  <c r="D5" i="33"/>
  <c r="D4" i="33"/>
  <c r="D3" i="33"/>
  <c r="D2" i="33"/>
  <c r="E17" i="33"/>
  <c r="E8" i="33"/>
  <c r="C28" i="34"/>
  <c r="C27" i="34"/>
  <c r="C26" i="34"/>
  <c r="C25" i="34"/>
  <c r="C24" i="34"/>
  <c r="C23" i="34"/>
  <c r="D28" i="34"/>
  <c r="D27" i="34"/>
  <c r="D26" i="34"/>
  <c r="D25" i="34"/>
  <c r="D24" i="34"/>
  <c r="D23" i="34"/>
  <c r="C19" i="34"/>
  <c r="C18" i="34"/>
  <c r="C17" i="34"/>
  <c r="C16" i="34"/>
  <c r="C15" i="34"/>
  <c r="C14" i="34"/>
  <c r="C13" i="34"/>
  <c r="C12" i="34"/>
  <c r="C11" i="34"/>
  <c r="C10" i="34"/>
  <c r="C9" i="34"/>
  <c r="C8" i="34"/>
  <c r="C7" i="34"/>
  <c r="C6" i="34"/>
  <c r="C5" i="34"/>
  <c r="C4" i="34"/>
  <c r="C3" i="34"/>
  <c r="C2" i="34"/>
  <c r="D3" i="34"/>
  <c r="D4" i="34"/>
  <c r="D5" i="34"/>
  <c r="D6" i="34"/>
  <c r="D7" i="34"/>
  <c r="D8" i="34"/>
  <c r="D9" i="34"/>
  <c r="D10" i="34"/>
  <c r="D11" i="34"/>
  <c r="D12" i="34"/>
  <c r="D13" i="34"/>
  <c r="D14" i="34"/>
  <c r="D15" i="34"/>
  <c r="D16" i="34"/>
  <c r="D17" i="34"/>
  <c r="D18" i="34"/>
  <c r="D19" i="34"/>
  <c r="D2" i="34"/>
  <c r="B19" i="30"/>
  <c r="B16" i="30"/>
  <c r="B3" i="30"/>
  <c r="B4" i="30"/>
  <c r="B5" i="30"/>
  <c r="B6" i="30"/>
  <c r="B7" i="30"/>
  <c r="B10" i="30"/>
  <c r="B11" i="30"/>
  <c r="B12" i="30"/>
  <c r="B2" i="30"/>
  <c r="B14" i="32"/>
  <c r="B15" i="32"/>
  <c r="B12" i="32"/>
  <c r="B3" i="32"/>
  <c r="B4" i="32"/>
  <c r="B5" i="32"/>
  <c r="B6" i="32"/>
  <c r="B7" i="32"/>
  <c r="B8" i="32"/>
  <c r="B2" i="32"/>
  <c r="B24" i="34"/>
  <c r="B25" i="34"/>
  <c r="B27" i="34"/>
  <c r="B28" i="34"/>
  <c r="B23" i="34"/>
  <c r="B3" i="34"/>
  <c r="B6" i="34"/>
  <c r="B7" i="34"/>
  <c r="B8" i="34"/>
  <c r="B9" i="34"/>
  <c r="B10" i="34"/>
  <c r="B11" i="34"/>
  <c r="B12" i="34"/>
  <c r="B13" i="34"/>
  <c r="B14" i="34"/>
  <c r="B15" i="34"/>
  <c r="B16" i="34"/>
  <c r="B17" i="34"/>
  <c r="B18" i="34"/>
  <c r="B19" i="34"/>
  <c r="B2" i="34"/>
  <c r="B13" i="33"/>
  <c r="B14" i="33"/>
  <c r="B16" i="33"/>
  <c r="B17" i="33"/>
  <c r="B12" i="33"/>
  <c r="B3" i="33"/>
  <c r="B4" i="33"/>
  <c r="B5" i="33"/>
  <c r="B6" i="33"/>
  <c r="B7" i="33"/>
  <c r="B8" i="33"/>
  <c r="B2" i="33"/>
  <c r="B14" i="38"/>
  <c r="B13" i="38"/>
  <c r="B5" i="36"/>
  <c r="B6" i="36"/>
  <c r="B7" i="36"/>
  <c r="B8" i="36"/>
  <c r="B9" i="36"/>
  <c r="B10" i="36"/>
  <c r="B12" i="36"/>
  <c r="B14" i="36"/>
  <c r="B15" i="36"/>
  <c r="B17" i="36"/>
  <c r="B18" i="36"/>
  <c r="B25" i="31"/>
  <c r="B26" i="31"/>
  <c r="B27" i="31"/>
  <c r="B28" i="31"/>
  <c r="B29" i="31"/>
  <c r="B24" i="31"/>
  <c r="B6" i="31"/>
  <c r="B7" i="31"/>
  <c r="B8" i="31"/>
  <c r="B9" i="31"/>
  <c r="B10" i="31"/>
  <c r="B11" i="31"/>
  <c r="B12" i="31"/>
  <c r="B14" i="31"/>
  <c r="B15" i="31"/>
  <c r="B16" i="31"/>
  <c r="B17" i="31"/>
  <c r="B18" i="31"/>
  <c r="B19" i="31"/>
  <c r="B20" i="31"/>
  <c r="B3" i="31"/>
  <c r="B4" i="31"/>
  <c r="B25" i="29"/>
  <c r="B3" i="29"/>
  <c r="B5" i="29"/>
  <c r="B6" i="29"/>
  <c r="B7" i="29"/>
  <c r="B8" i="29"/>
  <c r="B9" i="29"/>
  <c r="B11" i="29"/>
  <c r="B13" i="29"/>
  <c r="B14" i="29"/>
  <c r="B15" i="29"/>
  <c r="B16" i="29"/>
  <c r="B17" i="29"/>
  <c r="B18" i="29"/>
  <c r="B19" i="29"/>
  <c r="B20" i="29"/>
  <c r="B2" i="29"/>
  <c r="B32" i="35"/>
  <c r="B33" i="35"/>
  <c r="B35" i="35"/>
  <c r="B37" i="35"/>
  <c r="B30" i="35"/>
  <c r="B3" i="35"/>
  <c r="B4" i="35"/>
  <c r="B5" i="35"/>
  <c r="B7" i="35"/>
  <c r="B8" i="35"/>
  <c r="B9" i="35"/>
  <c r="B10" i="35"/>
  <c r="B11" i="35"/>
  <c r="B12" i="35"/>
  <c r="B13" i="35"/>
  <c r="B14" i="35"/>
  <c r="B15" i="35"/>
  <c r="B16" i="35"/>
  <c r="B17" i="35"/>
  <c r="B18" i="35"/>
  <c r="B19" i="35"/>
  <c r="B21" i="35"/>
  <c r="B22" i="35"/>
  <c r="B23" i="35"/>
  <c r="B24" i="35"/>
  <c r="B25" i="35"/>
  <c r="B2" i="35"/>
  <c r="B26" i="28"/>
  <c r="B27" i="28"/>
  <c r="B24" i="28"/>
  <c r="B5" i="28"/>
  <c r="B20" i="28"/>
  <c r="B2" i="27"/>
  <c r="B19" i="27"/>
  <c r="B20" i="27"/>
  <c r="B21" i="27"/>
  <c r="B16" i="27"/>
  <c r="B3" i="27"/>
  <c r="B4" i="27"/>
  <c r="B5" i="27"/>
  <c r="B6" i="27"/>
  <c r="B7" i="27"/>
  <c r="B8" i="27"/>
  <c r="B9" i="27"/>
  <c r="B10" i="27"/>
  <c r="B11" i="27"/>
  <c r="B12" i="27"/>
  <c r="B16" i="26"/>
  <c r="B18" i="26"/>
  <c r="B19" i="26"/>
  <c r="B15" i="26"/>
  <c r="B4" i="26"/>
  <c r="B6" i="26"/>
  <c r="B7" i="26"/>
  <c r="B8" i="26"/>
  <c r="B9" i="26"/>
  <c r="B10" i="26"/>
  <c r="B2" i="26"/>
  <c r="B2" i="25"/>
  <c r="D8" i="25"/>
  <c r="D13" i="25"/>
  <c r="B20" i="25"/>
  <c r="B19" i="25"/>
  <c r="B18" i="25"/>
  <c r="B17" i="25"/>
  <c r="B16" i="25"/>
  <c r="B13" i="25"/>
  <c r="B12" i="25"/>
  <c r="B11" i="25"/>
  <c r="B10" i="25"/>
  <c r="B8" i="25"/>
  <c r="B7" i="25"/>
  <c r="B6" i="25"/>
  <c r="B5" i="25"/>
  <c r="B4" i="25"/>
  <c r="D21" i="25"/>
  <c r="D20" i="25"/>
  <c r="D19" i="25"/>
  <c r="D18" i="25"/>
  <c r="D17" i="25"/>
  <c r="D16" i="25"/>
  <c r="D15" i="25"/>
  <c r="D14" i="25"/>
  <c r="D12" i="25"/>
  <c r="D11" i="25"/>
  <c r="D10" i="25"/>
  <c r="D9" i="25"/>
  <c r="D7" i="25"/>
  <c r="D6" i="25"/>
  <c r="D5" i="25"/>
  <c r="D4" i="25"/>
  <c r="D3" i="25"/>
  <c r="D2" i="25"/>
  <c r="P31" i="2"/>
  <c r="O31" i="2"/>
  <c r="N31" i="2"/>
  <c r="M31" i="2"/>
  <c r="L31" i="2"/>
  <c r="K31" i="2"/>
  <c r="J31" i="2"/>
  <c r="I31" i="2"/>
  <c r="H31" i="2"/>
  <c r="P30" i="2"/>
  <c r="O30" i="2"/>
  <c r="N30" i="2"/>
  <c r="M30" i="2"/>
  <c r="L30" i="2"/>
  <c r="K30" i="2"/>
  <c r="J30" i="2"/>
  <c r="I30" i="2"/>
  <c r="H30" i="2"/>
  <c r="G30" i="2"/>
  <c r="P29" i="2"/>
  <c r="O29" i="2"/>
  <c r="N29" i="2"/>
  <c r="M29" i="2"/>
  <c r="L29" i="2"/>
  <c r="K29" i="2"/>
  <c r="J29" i="2"/>
  <c r="I29" i="2"/>
  <c r="H29" i="2"/>
  <c r="G29" i="2"/>
  <c r="P28" i="2"/>
  <c r="O28" i="2"/>
  <c r="N28" i="2"/>
  <c r="M28" i="2"/>
  <c r="L28" i="2"/>
  <c r="K28" i="2"/>
  <c r="J28" i="2"/>
  <c r="I28" i="2"/>
  <c r="H28" i="2"/>
  <c r="G28" i="2"/>
  <c r="P27" i="2"/>
  <c r="O27" i="2"/>
  <c r="N27" i="2"/>
  <c r="M27" i="2"/>
  <c r="L27" i="2"/>
  <c r="K27" i="2"/>
  <c r="J27" i="2"/>
  <c r="I27" i="2"/>
  <c r="H27" i="2"/>
  <c r="G27" i="2"/>
  <c r="P26" i="2"/>
  <c r="O26" i="2"/>
  <c r="N26" i="2"/>
  <c r="M26" i="2"/>
  <c r="L26" i="2"/>
  <c r="K26" i="2"/>
  <c r="J26" i="2"/>
  <c r="I26" i="2"/>
  <c r="H26" i="2"/>
  <c r="G26" i="2"/>
  <c r="P25" i="2"/>
  <c r="O25" i="2"/>
  <c r="N25" i="2"/>
  <c r="M25" i="2"/>
  <c r="L25" i="2"/>
  <c r="K25" i="2"/>
  <c r="J25" i="2"/>
  <c r="I25" i="2"/>
  <c r="H25" i="2"/>
  <c r="G25" i="2"/>
  <c r="P24" i="2"/>
  <c r="O24" i="2"/>
  <c r="N24" i="2"/>
  <c r="M24" i="2"/>
  <c r="L24" i="2"/>
  <c r="K24" i="2"/>
  <c r="J24" i="2"/>
  <c r="I24" i="2"/>
  <c r="H24" i="2"/>
  <c r="G24" i="2"/>
  <c r="P23" i="2"/>
  <c r="O23" i="2"/>
  <c r="N23" i="2"/>
  <c r="M23" i="2"/>
  <c r="L23" i="2"/>
  <c r="K23" i="2"/>
  <c r="J23" i="2"/>
  <c r="I23" i="2"/>
  <c r="H23" i="2"/>
  <c r="G23" i="2"/>
  <c r="P22" i="2"/>
  <c r="O22" i="2"/>
  <c r="N22" i="2"/>
  <c r="M22" i="2"/>
  <c r="L22" i="2"/>
  <c r="K22" i="2"/>
  <c r="J22" i="2"/>
  <c r="I22" i="2"/>
  <c r="H22" i="2"/>
  <c r="G22" i="2"/>
  <c r="P21" i="2"/>
  <c r="O21" i="2"/>
  <c r="N21" i="2"/>
  <c r="M21" i="2"/>
  <c r="L21" i="2"/>
  <c r="K21" i="2"/>
  <c r="J21" i="2"/>
  <c r="I21" i="2"/>
  <c r="H21" i="2"/>
  <c r="G21" i="2"/>
  <c r="P20" i="2"/>
  <c r="O20" i="2"/>
  <c r="N20" i="2"/>
  <c r="M20" i="2"/>
  <c r="L20" i="2"/>
  <c r="K20" i="2"/>
  <c r="J20" i="2"/>
  <c r="I20" i="2"/>
  <c r="H20" i="2"/>
  <c r="G20" i="2"/>
  <c r="P19" i="2"/>
  <c r="O19" i="2"/>
  <c r="N19" i="2"/>
  <c r="M19" i="2"/>
  <c r="L19" i="2"/>
  <c r="K19" i="2"/>
  <c r="J19" i="2"/>
  <c r="I19" i="2"/>
  <c r="H19" i="2"/>
  <c r="G19" i="2"/>
  <c r="P18" i="2"/>
  <c r="O18" i="2"/>
  <c r="N18" i="2"/>
  <c r="M18" i="2"/>
  <c r="L18" i="2"/>
  <c r="K18" i="2"/>
  <c r="J18" i="2"/>
  <c r="I18" i="2"/>
  <c r="H18" i="2"/>
  <c r="P17" i="2"/>
  <c r="O17" i="2"/>
  <c r="N17" i="2"/>
  <c r="M17" i="2"/>
  <c r="L17" i="2"/>
  <c r="K17" i="2"/>
  <c r="J17" i="2"/>
  <c r="I17" i="2"/>
  <c r="H17" i="2"/>
  <c r="P16" i="2"/>
  <c r="O16" i="2"/>
  <c r="N16" i="2"/>
  <c r="M16" i="2"/>
  <c r="L16" i="2"/>
  <c r="K16" i="2"/>
  <c r="J16" i="2"/>
  <c r="I16" i="2"/>
  <c r="H16" i="2"/>
  <c r="G16" i="2"/>
  <c r="P15" i="2"/>
  <c r="O15" i="2"/>
  <c r="N15" i="2"/>
  <c r="M15" i="2"/>
  <c r="L15" i="2"/>
  <c r="K15" i="2"/>
  <c r="J15" i="2"/>
  <c r="I15" i="2"/>
  <c r="H15" i="2"/>
  <c r="G15" i="2"/>
  <c r="P14" i="2"/>
  <c r="O14" i="2"/>
  <c r="N14" i="2"/>
  <c r="M14" i="2"/>
  <c r="L14" i="2"/>
  <c r="K14" i="2"/>
  <c r="J14" i="2"/>
  <c r="I14" i="2"/>
  <c r="H14" i="2"/>
  <c r="P13" i="2"/>
  <c r="O13" i="2"/>
  <c r="N13" i="2"/>
  <c r="M13" i="2"/>
  <c r="L13" i="2"/>
  <c r="K13" i="2"/>
  <c r="J13" i="2"/>
  <c r="I13" i="2"/>
  <c r="H13" i="2"/>
  <c r="G13" i="2"/>
  <c r="P12" i="2"/>
  <c r="O12" i="2"/>
  <c r="N12" i="2"/>
  <c r="M12" i="2"/>
  <c r="L12" i="2"/>
  <c r="K12" i="2"/>
  <c r="J12" i="2"/>
  <c r="I12" i="2"/>
  <c r="H12" i="2"/>
  <c r="P11" i="2"/>
  <c r="O11" i="2"/>
  <c r="N11" i="2"/>
  <c r="M11" i="2"/>
  <c r="L11" i="2"/>
  <c r="K11" i="2"/>
  <c r="J11" i="2"/>
  <c r="I11" i="2"/>
  <c r="H11" i="2"/>
  <c r="G11" i="2"/>
  <c r="P10" i="2"/>
  <c r="O10" i="2"/>
  <c r="N10" i="2"/>
  <c r="M10" i="2"/>
  <c r="L10" i="2"/>
  <c r="K10" i="2"/>
  <c r="J10" i="2"/>
  <c r="I10" i="2"/>
  <c r="H10" i="2"/>
  <c r="G10" i="2"/>
  <c r="P9" i="2"/>
  <c r="O9" i="2"/>
  <c r="N9" i="2"/>
  <c r="M9" i="2"/>
  <c r="L9" i="2"/>
  <c r="K9" i="2"/>
  <c r="J9" i="2"/>
  <c r="I9" i="2"/>
  <c r="H9" i="2"/>
  <c r="G9" i="2"/>
  <c r="P8" i="2"/>
  <c r="O8" i="2"/>
  <c r="N8" i="2"/>
  <c r="M8" i="2"/>
  <c r="L8" i="2"/>
  <c r="K8" i="2"/>
  <c r="J8" i="2"/>
  <c r="I8" i="2"/>
  <c r="H8" i="2"/>
  <c r="G8" i="2"/>
  <c r="P7" i="2"/>
  <c r="O7" i="2"/>
  <c r="N7" i="2"/>
  <c r="M7" i="2"/>
  <c r="L7" i="2"/>
  <c r="K7" i="2"/>
  <c r="J7" i="2"/>
  <c r="I7" i="2"/>
  <c r="H7" i="2"/>
  <c r="G7" i="2"/>
  <c r="P6" i="2"/>
  <c r="O6" i="2"/>
  <c r="N6" i="2"/>
  <c r="M6" i="2"/>
  <c r="L6" i="2"/>
  <c r="K6" i="2"/>
  <c r="J6" i="2"/>
  <c r="I6" i="2"/>
  <c r="H6" i="2"/>
  <c r="G6" i="2"/>
  <c r="P5" i="2"/>
  <c r="O5" i="2"/>
  <c r="N5" i="2"/>
  <c r="M5" i="2"/>
  <c r="L5" i="2"/>
  <c r="K5" i="2"/>
  <c r="J5" i="2"/>
  <c r="I5" i="2"/>
  <c r="H5" i="2"/>
  <c r="G5" i="2"/>
  <c r="P4" i="2"/>
  <c r="O4" i="2"/>
  <c r="N4" i="2"/>
  <c r="M4" i="2"/>
  <c r="L4" i="2"/>
  <c r="K4" i="2"/>
  <c r="J4" i="2"/>
  <c r="I4" i="2"/>
  <c r="H4" i="2"/>
  <c r="G4" i="2"/>
  <c r="P3" i="2"/>
  <c r="O3" i="2"/>
  <c r="N3" i="2"/>
  <c r="N32" i="2"/>
  <c r="M3" i="2"/>
  <c r="L3" i="2"/>
  <c r="L32" i="2"/>
  <c r="K3" i="2"/>
  <c r="K32" i="2"/>
  <c r="J3" i="2"/>
  <c r="I3" i="2"/>
  <c r="H3" i="2"/>
  <c r="H32" i="2"/>
  <c r="G3" i="2"/>
  <c r="P2" i="2"/>
  <c r="O2" i="2"/>
  <c r="O32" i="2"/>
  <c r="N2" i="2"/>
  <c r="M2" i="2"/>
  <c r="L2" i="2"/>
  <c r="K2" i="2"/>
  <c r="J2" i="2"/>
  <c r="I2" i="2"/>
  <c r="H2" i="2"/>
  <c r="G2" i="2"/>
  <c r="F2" i="2"/>
  <c r="D2" i="2"/>
  <c r="F3" i="2"/>
  <c r="F4" i="2"/>
  <c r="D4" i="2"/>
  <c r="F5" i="2"/>
  <c r="D5" i="2"/>
  <c r="F6" i="2"/>
  <c r="B6" i="2"/>
  <c r="F7" i="2"/>
  <c r="D7" i="2"/>
  <c r="F8" i="2"/>
  <c r="D8" i="2"/>
  <c r="F9" i="2"/>
  <c r="D9" i="2"/>
  <c r="F10" i="2"/>
  <c r="D10" i="2"/>
  <c r="F11" i="2"/>
  <c r="D11" i="2"/>
  <c r="F12" i="2"/>
  <c r="D12" i="2"/>
  <c r="F13" i="2"/>
  <c r="D13" i="2"/>
  <c r="F14" i="2"/>
  <c r="F15" i="2"/>
  <c r="D15" i="2"/>
  <c r="F16" i="2"/>
  <c r="F17" i="2"/>
  <c r="D17" i="2"/>
  <c r="F18" i="2"/>
  <c r="F19" i="2"/>
  <c r="D19" i="2"/>
  <c r="F20" i="2"/>
  <c r="D20" i="2"/>
  <c r="F21" i="2"/>
  <c r="D21" i="2"/>
  <c r="F22" i="2"/>
  <c r="D22" i="2"/>
  <c r="F23" i="2"/>
  <c r="D23" i="2"/>
  <c r="F24" i="2"/>
  <c r="D24" i="2"/>
  <c r="F25" i="2"/>
  <c r="D25" i="2"/>
  <c r="F26" i="2"/>
  <c r="D26" i="2"/>
  <c r="F27" i="2"/>
  <c r="F28" i="2"/>
  <c r="D28" i="2"/>
  <c r="F29" i="2"/>
  <c r="B29" i="2"/>
  <c r="F30" i="2"/>
  <c r="D30" i="2"/>
  <c r="F31" i="2"/>
  <c r="D31" i="2"/>
  <c r="B36" i="2"/>
  <c r="D37" i="2"/>
  <c r="B38" i="2"/>
  <c r="D39" i="2"/>
  <c r="D41" i="2"/>
  <c r="D42" i="2"/>
  <c r="D43" i="2"/>
  <c r="D12" i="1"/>
  <c r="D10" i="1"/>
  <c r="B24" i="1"/>
  <c r="B12" i="1"/>
  <c r="D40" i="9"/>
  <c r="D39" i="9"/>
  <c r="D38" i="9"/>
  <c r="D37" i="9"/>
  <c r="D36" i="9"/>
  <c r="D31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  <c r="B40" i="9"/>
  <c r="B39" i="9"/>
  <c r="B37" i="9"/>
  <c r="B35" i="9"/>
  <c r="B34" i="9"/>
  <c r="B33" i="9"/>
  <c r="B31" i="9"/>
  <c r="B27" i="9"/>
  <c r="B26" i="9"/>
  <c r="B25" i="9"/>
  <c r="B23" i="9"/>
  <c r="B22" i="9"/>
  <c r="B21" i="9"/>
  <c r="B20" i="9"/>
  <c r="B19" i="9"/>
  <c r="B18" i="9"/>
  <c r="B16" i="9"/>
  <c r="B15" i="9"/>
  <c r="B14" i="9"/>
  <c r="B13" i="9"/>
  <c r="B12" i="9"/>
  <c r="B11" i="9"/>
  <c r="B10" i="9"/>
  <c r="B9" i="9"/>
  <c r="B8" i="9"/>
  <c r="B7" i="9"/>
  <c r="B6" i="9"/>
  <c r="B5" i="9"/>
  <c r="B3" i="9"/>
  <c r="B2" i="9"/>
  <c r="F18" i="36"/>
  <c r="F21" i="29"/>
  <c r="B21" i="29"/>
  <c r="F15" i="32"/>
  <c r="F29" i="1"/>
  <c r="D29" i="1"/>
  <c r="F8" i="32"/>
  <c r="F19" i="30"/>
  <c r="F12" i="30"/>
  <c r="F28" i="34"/>
  <c r="F18" i="34"/>
  <c r="F17" i="34"/>
  <c r="F11" i="34"/>
  <c r="F8" i="34"/>
  <c r="F7" i="34"/>
  <c r="F19" i="34"/>
  <c r="F6" i="34"/>
  <c r="F3" i="34"/>
  <c r="F17" i="33"/>
  <c r="F8" i="33"/>
  <c r="F26" i="9"/>
  <c r="F27" i="9"/>
  <c r="F41" i="9"/>
  <c r="D41" i="9"/>
  <c r="F20" i="31"/>
  <c r="F29" i="31"/>
  <c r="F38" i="35"/>
  <c r="B38" i="35"/>
  <c r="F26" i="35"/>
  <c r="B26" i="35"/>
  <c r="F27" i="28"/>
  <c r="F21" i="1"/>
  <c r="F20" i="28"/>
  <c r="F5" i="1"/>
  <c r="D5" i="1"/>
  <c r="F19" i="26"/>
  <c r="F10" i="26"/>
  <c r="F3" i="1"/>
  <c r="F21" i="25"/>
  <c r="B21" i="25"/>
  <c r="F30" i="1"/>
  <c r="D30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B22" i="1"/>
  <c r="F20" i="1"/>
  <c r="B20" i="1"/>
  <c r="F14" i="1"/>
  <c r="B14" i="1"/>
  <c r="F11" i="1"/>
  <c r="D11" i="1"/>
  <c r="F9" i="1"/>
  <c r="D9" i="1"/>
  <c r="F8" i="1"/>
  <c r="D8" i="1"/>
  <c r="F4" i="1"/>
  <c r="D4" i="1"/>
  <c r="F2" i="1"/>
  <c r="D2" i="1"/>
  <c r="D24" i="36"/>
  <c r="D23" i="36"/>
  <c r="D22" i="36"/>
  <c r="D26" i="29"/>
  <c r="D25" i="29"/>
  <c r="B26" i="29"/>
  <c r="G29" i="31"/>
  <c r="G18" i="36"/>
  <c r="H44" i="2"/>
  <c r="G25" i="36"/>
  <c r="D25" i="36"/>
  <c r="G12" i="30"/>
  <c r="G21" i="27"/>
  <c r="G15" i="32"/>
  <c r="G8" i="32"/>
  <c r="J15" i="32"/>
  <c r="I15" i="32"/>
  <c r="H15" i="32"/>
  <c r="J8" i="32"/>
  <c r="I8" i="32"/>
  <c r="H8" i="32"/>
  <c r="G19" i="26"/>
  <c r="G10" i="26"/>
  <c r="G18" i="34"/>
  <c r="G19" i="34"/>
  <c r="G21" i="29"/>
  <c r="G7" i="1"/>
  <c r="G27" i="9"/>
  <c r="G8" i="25"/>
  <c r="G12" i="2"/>
  <c r="G10" i="25"/>
  <c r="G14" i="2"/>
  <c r="G12" i="25"/>
  <c r="G17" i="2"/>
  <c r="G13" i="25"/>
  <c r="G18" i="2"/>
  <c r="G20" i="25"/>
  <c r="G31" i="2"/>
  <c r="G13" i="1"/>
  <c r="G8" i="33"/>
  <c r="G11" i="1"/>
  <c r="G20" i="31"/>
  <c r="G8" i="1"/>
  <c r="G26" i="35"/>
  <c r="G5" i="1"/>
  <c r="G19" i="30"/>
  <c r="G30" i="1"/>
  <c r="G17" i="33"/>
  <c r="G27" i="1"/>
  <c r="G38" i="35"/>
  <c r="G22" i="1"/>
  <c r="G21" i="1"/>
  <c r="G20" i="1"/>
  <c r="G23" i="1"/>
  <c r="G25" i="1"/>
  <c r="G26" i="1"/>
  <c r="G28" i="1"/>
  <c r="H25" i="36"/>
  <c r="H25" i="1"/>
  <c r="H21" i="25"/>
  <c r="G14" i="1"/>
  <c r="G4" i="1"/>
  <c r="G3" i="1"/>
  <c r="H19" i="26"/>
  <c r="H19" i="1"/>
  <c r="I19" i="26"/>
  <c r="I19" i="1"/>
  <c r="J19" i="26"/>
  <c r="J19" i="1"/>
  <c r="K19" i="26"/>
  <c r="K19" i="1"/>
  <c r="L19" i="26"/>
  <c r="L19" i="1"/>
  <c r="M19" i="26"/>
  <c r="M19" i="1"/>
  <c r="N19" i="1"/>
  <c r="H21" i="27"/>
  <c r="H20" i="1"/>
  <c r="I21" i="27"/>
  <c r="I20" i="1"/>
  <c r="J21" i="27"/>
  <c r="J20" i="1"/>
  <c r="K21" i="27"/>
  <c r="K20" i="1"/>
  <c r="L21" i="27"/>
  <c r="L20" i="1"/>
  <c r="M21" i="27"/>
  <c r="M20" i="1"/>
  <c r="N21" i="27"/>
  <c r="N20" i="1"/>
  <c r="H27" i="28"/>
  <c r="H21" i="1"/>
  <c r="I27" i="28"/>
  <c r="I21" i="1"/>
  <c r="J27" i="28"/>
  <c r="J21" i="1"/>
  <c r="K21" i="1"/>
  <c r="L27" i="28"/>
  <c r="L21" i="1"/>
  <c r="L31" i="1"/>
  <c r="M21" i="1"/>
  <c r="N21" i="1"/>
  <c r="H38" i="35"/>
  <c r="H22" i="1"/>
  <c r="I38" i="35"/>
  <c r="I22" i="1"/>
  <c r="J38" i="35"/>
  <c r="J22" i="1"/>
  <c r="K38" i="35"/>
  <c r="K22" i="1"/>
  <c r="L38" i="35"/>
  <c r="L22" i="1"/>
  <c r="M38" i="35"/>
  <c r="M22" i="1"/>
  <c r="N22" i="1"/>
  <c r="O22" i="1"/>
  <c r="O31" i="1"/>
  <c r="P22" i="1"/>
  <c r="P31" i="1"/>
  <c r="Q22" i="1"/>
  <c r="R22" i="1"/>
  <c r="R31" i="1"/>
  <c r="H26" i="29"/>
  <c r="H23" i="1"/>
  <c r="I26" i="29"/>
  <c r="I23" i="1"/>
  <c r="J26" i="29"/>
  <c r="J23" i="1"/>
  <c r="K26" i="29"/>
  <c r="K23" i="1"/>
  <c r="L26" i="29"/>
  <c r="L23" i="1"/>
  <c r="M26" i="29"/>
  <c r="M23" i="1"/>
  <c r="N26" i="29"/>
  <c r="N23" i="1"/>
  <c r="H24" i="1"/>
  <c r="I24" i="1"/>
  <c r="J24" i="1"/>
  <c r="K24" i="1"/>
  <c r="L29" i="31"/>
  <c r="L24" i="1"/>
  <c r="M29" i="31"/>
  <c r="M24" i="1"/>
  <c r="N29" i="31"/>
  <c r="N24" i="1"/>
  <c r="I25" i="1"/>
  <c r="J25" i="36"/>
  <c r="J25" i="1"/>
  <c r="K25" i="36"/>
  <c r="K25" i="1"/>
  <c r="L25" i="36"/>
  <c r="L25" i="1"/>
  <c r="M25" i="36"/>
  <c r="M25" i="1"/>
  <c r="N25" i="36"/>
  <c r="N25" i="1"/>
  <c r="H26" i="1"/>
  <c r="I26" i="1"/>
  <c r="J26" i="1"/>
  <c r="K26" i="1"/>
  <c r="L26" i="1"/>
  <c r="M26" i="1"/>
  <c r="N14" i="38"/>
  <c r="N26" i="1"/>
  <c r="H17" i="33"/>
  <c r="H27" i="1"/>
  <c r="I17" i="33"/>
  <c r="I27" i="1"/>
  <c r="J17" i="33"/>
  <c r="J27" i="1"/>
  <c r="K17" i="33"/>
  <c r="K27" i="1"/>
  <c r="L17" i="33"/>
  <c r="L27" i="1"/>
  <c r="M17" i="33"/>
  <c r="M27" i="1"/>
  <c r="N17" i="33"/>
  <c r="N27" i="1"/>
  <c r="H28" i="34"/>
  <c r="H28" i="1"/>
  <c r="I28" i="34"/>
  <c r="I28" i="1"/>
  <c r="J28" i="34"/>
  <c r="J28" i="1"/>
  <c r="K28" i="34"/>
  <c r="K28" i="1"/>
  <c r="L28" i="34"/>
  <c r="L28" i="1"/>
  <c r="M28" i="34"/>
  <c r="M28" i="1"/>
  <c r="N28" i="34"/>
  <c r="N28" i="1"/>
  <c r="H29" i="1"/>
  <c r="I29" i="1"/>
  <c r="J29" i="1"/>
  <c r="K15" i="32"/>
  <c r="K29" i="1"/>
  <c r="L15" i="32"/>
  <c r="L29" i="1"/>
  <c r="M15" i="32"/>
  <c r="M29" i="1"/>
  <c r="N15" i="32"/>
  <c r="N29" i="1"/>
  <c r="H19" i="30"/>
  <c r="H30" i="1"/>
  <c r="I19" i="30"/>
  <c r="I30" i="1"/>
  <c r="J30" i="1"/>
  <c r="K19" i="30"/>
  <c r="K30" i="1"/>
  <c r="L19" i="30"/>
  <c r="L30" i="1"/>
  <c r="M19" i="30"/>
  <c r="M30" i="1"/>
  <c r="N19" i="30"/>
  <c r="N30" i="1"/>
  <c r="Q31" i="1"/>
  <c r="G41" i="9"/>
  <c r="H8" i="33"/>
  <c r="H20" i="31"/>
  <c r="H21" i="29"/>
  <c r="H20" i="28"/>
  <c r="H12" i="30"/>
  <c r="H14" i="1"/>
  <c r="H19" i="34"/>
  <c r="H7" i="1"/>
  <c r="H10" i="26"/>
  <c r="H3" i="1"/>
  <c r="H26" i="35"/>
  <c r="H27" i="9"/>
  <c r="H12" i="27"/>
  <c r="H41" i="9"/>
  <c r="H11" i="1"/>
  <c r="H9" i="1"/>
  <c r="H5" i="1"/>
  <c r="R8" i="32"/>
  <c r="Q8" i="32"/>
  <c r="P8" i="32"/>
  <c r="O8" i="32"/>
  <c r="O13" i="1"/>
  <c r="N8" i="32"/>
  <c r="N13" i="1"/>
  <c r="M8" i="32"/>
  <c r="L8" i="32"/>
  <c r="K8" i="32"/>
  <c r="K13" i="1"/>
  <c r="J13" i="1"/>
  <c r="I13" i="1"/>
  <c r="I26" i="35"/>
  <c r="I8" i="33"/>
  <c r="I11" i="1"/>
  <c r="J27" i="9"/>
  <c r="I27" i="9"/>
  <c r="I20" i="31"/>
  <c r="I8" i="1"/>
  <c r="I12" i="27"/>
  <c r="I4" i="1"/>
  <c r="I21" i="29"/>
  <c r="I19" i="34"/>
  <c r="I10" i="26"/>
  <c r="I3" i="1"/>
  <c r="I20" i="28"/>
  <c r="I41" i="9"/>
  <c r="I9" i="1"/>
  <c r="I12" i="30"/>
  <c r="I14" i="1"/>
  <c r="I21" i="25"/>
  <c r="I2" i="1"/>
  <c r="I5" i="1"/>
  <c r="I6" i="1"/>
  <c r="I7" i="1"/>
  <c r="I12" i="1"/>
  <c r="J21" i="25"/>
  <c r="J2" i="1"/>
  <c r="J15" i="1"/>
  <c r="J10" i="26"/>
  <c r="J3" i="1"/>
  <c r="J12" i="27"/>
  <c r="J4" i="1"/>
  <c r="J20" i="28"/>
  <c r="J5" i="1"/>
  <c r="J26" i="35"/>
  <c r="J6" i="1"/>
  <c r="J21" i="29"/>
  <c r="J7" i="1"/>
  <c r="J20" i="31"/>
  <c r="J8" i="1"/>
  <c r="J18" i="36"/>
  <c r="J9" i="1"/>
  <c r="J8" i="33"/>
  <c r="J11" i="1"/>
  <c r="J19" i="34"/>
  <c r="J12" i="1"/>
  <c r="J14" i="1"/>
  <c r="J44" i="2"/>
  <c r="R19" i="30"/>
  <c r="Q19" i="30"/>
  <c r="R12" i="30"/>
  <c r="Q12" i="30"/>
  <c r="J41" i="9"/>
  <c r="K20" i="31"/>
  <c r="K8" i="1"/>
  <c r="K41" i="9"/>
  <c r="N41" i="9"/>
  <c r="O41" i="9"/>
  <c r="P41" i="9"/>
  <c r="Q41" i="9"/>
  <c r="R41" i="9"/>
  <c r="M41" i="9"/>
  <c r="L41" i="9"/>
  <c r="K27" i="9"/>
  <c r="L27" i="9"/>
  <c r="K21" i="25"/>
  <c r="K2" i="1"/>
  <c r="K15" i="1"/>
  <c r="K10" i="26"/>
  <c r="K3" i="1"/>
  <c r="K12" i="27"/>
  <c r="K4" i="1"/>
  <c r="K20" i="28"/>
  <c r="K5" i="1"/>
  <c r="K26" i="35"/>
  <c r="K6" i="1"/>
  <c r="K21" i="29"/>
  <c r="K7" i="1"/>
  <c r="K18" i="36"/>
  <c r="K9" i="1"/>
  <c r="K8" i="33"/>
  <c r="K11" i="1"/>
  <c r="K19" i="34"/>
  <c r="K12" i="1"/>
  <c r="K12" i="30"/>
  <c r="K14" i="1"/>
  <c r="L8" i="33"/>
  <c r="L11" i="1"/>
  <c r="L18" i="36"/>
  <c r="L9" i="1"/>
  <c r="L26" i="35"/>
  <c r="L6" i="1"/>
  <c r="L19" i="34"/>
  <c r="L12" i="1"/>
  <c r="L13" i="1"/>
  <c r="L12" i="30"/>
  <c r="L14" i="1"/>
  <c r="L20" i="31"/>
  <c r="L8" i="1"/>
  <c r="L21" i="29"/>
  <c r="L7" i="1"/>
  <c r="L20" i="28"/>
  <c r="L5" i="1"/>
  <c r="L12" i="27"/>
  <c r="L4" i="1"/>
  <c r="L10" i="26"/>
  <c r="L3" i="1"/>
  <c r="L21" i="25"/>
  <c r="L2" i="1"/>
  <c r="M21" i="29"/>
  <c r="M7" i="1"/>
  <c r="M21" i="25"/>
  <c r="M2" i="1"/>
  <c r="M15" i="1"/>
  <c r="M10" i="26"/>
  <c r="M3" i="1"/>
  <c r="M12" i="27"/>
  <c r="M4" i="1"/>
  <c r="M20" i="28"/>
  <c r="M5" i="1"/>
  <c r="M26" i="35"/>
  <c r="M6" i="1"/>
  <c r="M20" i="31"/>
  <c r="M8" i="1"/>
  <c r="M18" i="36"/>
  <c r="M9" i="1"/>
  <c r="M8" i="33"/>
  <c r="M11" i="1"/>
  <c r="M19" i="34"/>
  <c r="M12" i="1"/>
  <c r="M13" i="1"/>
  <c r="M12" i="30"/>
  <c r="M14" i="1"/>
  <c r="M43" i="2"/>
  <c r="M42" i="2"/>
  <c r="M41" i="2"/>
  <c r="M40" i="2"/>
  <c r="M39" i="2"/>
  <c r="M44" i="2"/>
  <c r="M38" i="2"/>
  <c r="M37" i="2"/>
  <c r="M36" i="2"/>
  <c r="M27" i="9"/>
  <c r="N20" i="28"/>
  <c r="N5" i="1"/>
  <c r="N20" i="31"/>
  <c r="N8" i="1"/>
  <c r="P40" i="2"/>
  <c r="N43" i="2"/>
  <c r="N42" i="2"/>
  <c r="N41" i="2"/>
  <c r="N40" i="2"/>
  <c r="N39" i="2"/>
  <c r="N38" i="2"/>
  <c r="N37" i="2"/>
  <c r="N36" i="2"/>
  <c r="N27" i="9"/>
  <c r="N12" i="30"/>
  <c r="N14" i="1"/>
  <c r="N8" i="33"/>
  <c r="N11" i="1"/>
  <c r="N26" i="35"/>
  <c r="N6" i="1"/>
  <c r="N19" i="34"/>
  <c r="N12" i="1"/>
  <c r="N21" i="29"/>
  <c r="N7" i="1"/>
  <c r="N12" i="27"/>
  <c r="N4" i="1"/>
  <c r="N21" i="25"/>
  <c r="N2" i="1"/>
  <c r="N15" i="1"/>
  <c r="N10" i="26"/>
  <c r="N3" i="1"/>
  <c r="N18" i="36"/>
  <c r="N9" i="1"/>
  <c r="O17" i="34"/>
  <c r="R20" i="31"/>
  <c r="O8" i="33"/>
  <c r="O11" i="1"/>
  <c r="P12" i="30"/>
  <c r="O27" i="9"/>
  <c r="O36" i="2"/>
  <c r="O37" i="2"/>
  <c r="O38" i="2"/>
  <c r="O39" i="2"/>
  <c r="O40" i="2"/>
  <c r="O41" i="2"/>
  <c r="O43" i="2"/>
  <c r="O26" i="35"/>
  <c r="O6" i="1"/>
  <c r="O10" i="26"/>
  <c r="O3" i="1"/>
  <c r="O19" i="26"/>
  <c r="O17" i="33"/>
  <c r="O28" i="34"/>
  <c r="O21" i="25"/>
  <c r="O2" i="1"/>
  <c r="O12" i="27"/>
  <c r="O4" i="1"/>
  <c r="O20" i="28"/>
  <c r="O5" i="1"/>
  <c r="O15" i="1"/>
  <c r="O21" i="29"/>
  <c r="O7" i="1"/>
  <c r="O20" i="31"/>
  <c r="O8" i="1"/>
  <c r="O18" i="36"/>
  <c r="O9" i="1"/>
  <c r="O19" i="34"/>
  <c r="O12" i="1"/>
  <c r="O12" i="30"/>
  <c r="O14" i="1"/>
  <c r="O19" i="30"/>
  <c r="O26" i="29"/>
  <c r="R21" i="27"/>
  <c r="Q21" i="27"/>
  <c r="P21" i="27"/>
  <c r="O21" i="27"/>
  <c r="O25" i="36"/>
  <c r="O15" i="32"/>
  <c r="O29" i="31"/>
  <c r="P41" i="2"/>
  <c r="P44" i="2"/>
  <c r="P38" i="2"/>
  <c r="P37" i="2"/>
  <c r="P36" i="2"/>
  <c r="P24" i="28"/>
  <c r="P39" i="2"/>
  <c r="P26" i="28"/>
  <c r="P43" i="2"/>
  <c r="R25" i="36"/>
  <c r="Q25" i="36"/>
  <c r="P25" i="36"/>
  <c r="R18" i="36"/>
  <c r="Q18" i="36"/>
  <c r="P18" i="36"/>
  <c r="R28" i="34"/>
  <c r="Q28" i="34"/>
  <c r="P28" i="34"/>
  <c r="R19" i="34"/>
  <c r="Q19" i="34"/>
  <c r="P19" i="34"/>
  <c r="R17" i="33"/>
  <c r="Q17" i="33"/>
  <c r="P17" i="33"/>
  <c r="R8" i="33"/>
  <c r="Q8" i="33"/>
  <c r="P8" i="33"/>
  <c r="R15" i="32"/>
  <c r="Q15" i="32"/>
  <c r="P15" i="32"/>
  <c r="P29" i="31"/>
  <c r="R29" i="31"/>
  <c r="Q29" i="31"/>
  <c r="Q20" i="31"/>
  <c r="P20" i="31"/>
  <c r="R19" i="26"/>
  <c r="Q19" i="26"/>
  <c r="P19" i="26"/>
  <c r="R21" i="29"/>
  <c r="Q21" i="29"/>
  <c r="P19" i="30"/>
  <c r="R26" i="29"/>
  <c r="Q26" i="29"/>
  <c r="P26" i="29"/>
  <c r="R26" i="28"/>
  <c r="R24" i="28"/>
  <c r="R27" i="28"/>
  <c r="Q24" i="28"/>
  <c r="Q27" i="28"/>
  <c r="R20" i="28"/>
  <c r="Q20" i="28"/>
  <c r="R12" i="27"/>
  <c r="Q12" i="27"/>
  <c r="P12" i="27"/>
  <c r="R10" i="26"/>
  <c r="Q10" i="26"/>
  <c r="P10" i="26"/>
  <c r="R21" i="25"/>
  <c r="Q21" i="25"/>
  <c r="P21" i="25"/>
  <c r="P15" i="1"/>
  <c r="Q15" i="1"/>
  <c r="P27" i="9"/>
  <c r="Q27" i="9"/>
  <c r="R27" i="9"/>
  <c r="R15" i="1"/>
  <c r="P21" i="29"/>
  <c r="P20" i="28"/>
  <c r="P27" i="28"/>
  <c r="H2" i="1"/>
  <c r="H8" i="1"/>
  <c r="H13" i="1"/>
  <c r="H6" i="1"/>
  <c r="H12" i="1"/>
  <c r="H4" i="1"/>
  <c r="G9" i="1"/>
  <c r="G24" i="1"/>
  <c r="G6" i="1"/>
  <c r="B2" i="1"/>
  <c r="N31" i="1"/>
  <c r="G12" i="1"/>
  <c r="F12" i="1"/>
  <c r="G19" i="1"/>
  <c r="F13" i="1"/>
  <c r="B13" i="1"/>
  <c r="G29" i="1"/>
  <c r="D21" i="29"/>
  <c r="D3" i="1"/>
  <c r="F19" i="1"/>
  <c r="B3" i="1"/>
  <c r="D18" i="2"/>
  <c r="B19" i="1"/>
  <c r="D19" i="1"/>
  <c r="D14" i="1"/>
  <c r="B30" i="1"/>
  <c r="B29" i="1"/>
  <c r="D13" i="1"/>
  <c r="B28" i="1"/>
  <c r="B27" i="1"/>
  <c r="B11" i="1"/>
  <c r="B26" i="1"/>
  <c r="B9" i="1"/>
  <c r="I32" i="2"/>
  <c r="B37" i="2"/>
  <c r="D36" i="2"/>
  <c r="D38" i="2"/>
  <c r="B8" i="1"/>
  <c r="J32" i="2"/>
  <c r="M32" i="2"/>
  <c r="P32" i="2"/>
  <c r="B23" i="1"/>
  <c r="K44" i="2"/>
  <c r="G31" i="1"/>
  <c r="B5" i="2"/>
  <c r="D6" i="2"/>
  <c r="B41" i="2"/>
  <c r="N44" i="2"/>
  <c r="G44" i="2"/>
  <c r="D21" i="1"/>
  <c r="F31" i="1"/>
  <c r="D31" i="1"/>
  <c r="B39" i="2"/>
  <c r="O44" i="2"/>
  <c r="L44" i="2"/>
  <c r="K31" i="1"/>
  <c r="M31" i="1"/>
  <c r="J31" i="1"/>
  <c r="I31" i="1"/>
  <c r="H31" i="1"/>
  <c r="I44" i="2"/>
  <c r="D20" i="1"/>
  <c r="D27" i="2"/>
  <c r="B4" i="1"/>
  <c r="I15" i="1"/>
  <c r="B19" i="2"/>
  <c r="G21" i="25"/>
  <c r="G2" i="1"/>
  <c r="G15" i="1"/>
  <c r="G32" i="2"/>
  <c r="L15" i="1"/>
  <c r="H15" i="1"/>
  <c r="F44" i="2"/>
  <c r="D44" i="2"/>
  <c r="D22" i="1"/>
  <c r="B26" i="2"/>
  <c r="F6" i="1"/>
  <c r="F15" i="1"/>
  <c r="B17" i="2"/>
  <c r="B31" i="2"/>
  <c r="B8" i="2"/>
  <c r="F7" i="1"/>
  <c r="B3" i="2"/>
  <c r="B4" i="2"/>
  <c r="B41" i="9"/>
  <c r="B18" i="2"/>
  <c r="B16" i="2"/>
  <c r="B10" i="2"/>
  <c r="D29" i="2"/>
  <c r="B30" i="2"/>
  <c r="B5" i="1"/>
  <c r="D40" i="2"/>
  <c r="B23" i="2"/>
  <c r="D16" i="2"/>
  <c r="B15" i="2"/>
  <c r="B42" i="2"/>
  <c r="B11" i="2"/>
  <c r="D14" i="2"/>
  <c r="D3" i="2"/>
  <c r="F32" i="2"/>
  <c r="B13" i="2"/>
  <c r="D6" i="1"/>
  <c r="B6" i="1"/>
  <c r="D7" i="1"/>
  <c r="B7" i="1"/>
  <c r="D15" i="1"/>
  <c r="D32" i="2"/>
  <c r="C25" i="2"/>
  <c r="C27" i="2"/>
  <c r="E32" i="2"/>
  <c r="B32" i="2"/>
  <c r="B14" i="2"/>
  <c r="B24" i="2"/>
  <c r="B12" i="2"/>
  <c r="E21" i="1"/>
  <c r="C43" i="2"/>
  <c r="E44" i="2"/>
  <c r="C44" i="2"/>
  <c r="E15" i="1"/>
  <c r="C32" i="2"/>
  <c r="B44" i="2"/>
  <c r="E31" i="1"/>
  <c r="B21" i="1"/>
  <c r="C21" i="1"/>
  <c r="B15" i="1"/>
  <c r="C15" i="1"/>
  <c r="B31" i="1"/>
  <c r="C31" i="1"/>
</calcChain>
</file>

<file path=xl/sharedStrings.xml><?xml version="1.0" encoding="utf-8"?>
<sst xmlns="http://schemas.openxmlformats.org/spreadsheetml/2006/main" count="523" uniqueCount="180">
  <si>
    <t>Belgium</t>
  </si>
  <si>
    <t>The Netherlands</t>
  </si>
  <si>
    <t>Elstar</t>
  </si>
  <si>
    <t>Golden Delicious</t>
  </si>
  <si>
    <t>Boskoop</t>
  </si>
  <si>
    <t>Cox Orange</t>
  </si>
  <si>
    <t>Other</t>
  </si>
  <si>
    <t>Conference</t>
  </si>
  <si>
    <t>Austria (Steiermark)</t>
  </si>
  <si>
    <t>Gala</t>
  </si>
  <si>
    <t>Idared</t>
  </si>
  <si>
    <t>Braeburn</t>
  </si>
  <si>
    <t>Fuji</t>
  </si>
  <si>
    <t>Pinova</t>
  </si>
  <si>
    <t>Gloster</t>
  </si>
  <si>
    <t>Holsteiner Cox</t>
  </si>
  <si>
    <t>Italy</t>
  </si>
  <si>
    <t>Granny Smith</t>
  </si>
  <si>
    <t>Morgendurf/imperat</t>
  </si>
  <si>
    <t>Red Delicious</t>
  </si>
  <si>
    <t>Annurca</t>
  </si>
  <si>
    <t>Stayman</t>
  </si>
  <si>
    <t>Pink Lady</t>
  </si>
  <si>
    <t>TOTAL</t>
  </si>
  <si>
    <t>Apple Stocks (Ton)</t>
  </si>
  <si>
    <t>Pear Stocks (Ton)</t>
  </si>
  <si>
    <t>Jonagored</t>
  </si>
  <si>
    <t>Jonagold</t>
  </si>
  <si>
    <t>Germany</t>
  </si>
  <si>
    <t>Cameo</t>
  </si>
  <si>
    <t>Kaiser</t>
  </si>
  <si>
    <t>Czech Republic</t>
  </si>
  <si>
    <t>Poland</t>
  </si>
  <si>
    <t>Cortland</t>
  </si>
  <si>
    <t>Lobo</t>
  </si>
  <si>
    <t>Spartan</t>
  </si>
  <si>
    <t>Bramley</t>
  </si>
  <si>
    <t>Spain (Catalonia)</t>
  </si>
  <si>
    <t>Alexandrina</t>
  </si>
  <si>
    <t>Blanquilla</t>
  </si>
  <si>
    <t>Denmark</t>
  </si>
  <si>
    <t>Anjou</t>
  </si>
  <si>
    <t>Bosc</t>
  </si>
  <si>
    <t>Red Anjou</t>
  </si>
  <si>
    <t>Comice</t>
  </si>
  <si>
    <t>Seckel</t>
  </si>
  <si>
    <t>Other Reds</t>
  </si>
  <si>
    <t>Northwest Bartletts (Williams)</t>
  </si>
  <si>
    <t>Other Winter Varities</t>
  </si>
  <si>
    <t>Empire</t>
  </si>
  <si>
    <t>Jonathan</t>
  </si>
  <si>
    <t>McIntosh</t>
  </si>
  <si>
    <t>Mutsu/Crispin</t>
  </si>
  <si>
    <t>Newtown Pippin</t>
  </si>
  <si>
    <t>Northern Spy</t>
  </si>
  <si>
    <t>Rome</t>
  </si>
  <si>
    <t>Rome Sport</t>
  </si>
  <si>
    <t>Winesap</t>
  </si>
  <si>
    <t>York</t>
  </si>
  <si>
    <t>Others</t>
  </si>
  <si>
    <t>Switzerland</t>
  </si>
  <si>
    <t>Cripps Pink</t>
  </si>
  <si>
    <t>Content:</t>
  </si>
  <si>
    <t>US situation</t>
  </si>
  <si>
    <t>European situation per country</t>
  </si>
  <si>
    <t xml:space="preserve">Sources: </t>
  </si>
  <si>
    <t>US:</t>
  </si>
  <si>
    <t>Washington Apple Commission, Pear Bureau Northwest</t>
  </si>
  <si>
    <t>Austria:</t>
  </si>
  <si>
    <t>Landeskammer für Land- und Forstwirtschaft Steiermark</t>
  </si>
  <si>
    <t>Belgium:</t>
  </si>
  <si>
    <t>VBT</t>
  </si>
  <si>
    <t>Czech Republic:</t>
  </si>
  <si>
    <t>SAPA</t>
  </si>
  <si>
    <t>France:</t>
  </si>
  <si>
    <t>Germany:</t>
  </si>
  <si>
    <t>Italy:</t>
  </si>
  <si>
    <t>ASSOMELA, CSO</t>
  </si>
  <si>
    <t>Poland:</t>
  </si>
  <si>
    <t>Switzerland:</t>
  </si>
  <si>
    <t>Spain:</t>
  </si>
  <si>
    <t>The Netherlands:</t>
  </si>
  <si>
    <t>United Kingdom:</t>
  </si>
  <si>
    <t>Productschap Tuinbouw</t>
  </si>
  <si>
    <t>SWISSCOFEL</t>
  </si>
  <si>
    <t>SOCIETY FOR PROMOTION OF DWARF FRUIT ORCHARDS</t>
  </si>
  <si>
    <t>Central Institute for Supervising and Testing in Agriculture, Division of perennial plants</t>
  </si>
  <si>
    <t>Other new varieties³</t>
  </si>
  <si>
    <t>Reinette Grise du Canada</t>
  </si>
  <si>
    <t>Shampion</t>
  </si>
  <si>
    <t>European situation per variety</t>
  </si>
  <si>
    <t>Variety (Ton)</t>
  </si>
  <si>
    <t>Total</t>
  </si>
  <si>
    <t>Doyenne du comice</t>
  </si>
  <si>
    <t>Arlet</t>
  </si>
  <si>
    <t>Kronprinz Rudolf</t>
  </si>
  <si>
    <t>Topaz</t>
  </si>
  <si>
    <t>Bellida</t>
  </si>
  <si>
    <t>Pigoen</t>
  </si>
  <si>
    <t>Ingrid Marie</t>
  </si>
  <si>
    <t>Doyenne</t>
  </si>
  <si>
    <t>Gloster*</t>
  </si>
  <si>
    <t>* From 2007 Gloster is included in others</t>
  </si>
  <si>
    <t>Abate Fetel</t>
  </si>
  <si>
    <t>Decana del C.</t>
  </si>
  <si>
    <t>Morgenduft</t>
  </si>
  <si>
    <t>Renette</t>
  </si>
  <si>
    <t>Jonagold (incl. Jonagored)</t>
  </si>
  <si>
    <t>Fuji Group</t>
  </si>
  <si>
    <t>Gala Group</t>
  </si>
  <si>
    <t>Golden Group</t>
  </si>
  <si>
    <t>Llimonera</t>
  </si>
  <si>
    <t>Glockenapfel</t>
  </si>
  <si>
    <t>Kanada Reinette</t>
  </si>
  <si>
    <t>Maigold</t>
  </si>
  <si>
    <t>Rubinette</t>
  </si>
  <si>
    <t>Boscs Flaschenbirne</t>
  </si>
  <si>
    <t>Gute Luise</t>
  </si>
  <si>
    <t>European countries by variety</t>
  </si>
  <si>
    <t>Reine de renettes</t>
  </si>
  <si>
    <t>Ariane</t>
  </si>
  <si>
    <t>Pear Stocks  (Ton)</t>
  </si>
  <si>
    <t>Reinette</t>
  </si>
  <si>
    <t>Other new varieties*</t>
  </si>
  <si>
    <t>Tentation</t>
  </si>
  <si>
    <t>Belchard/Chantecler</t>
  </si>
  <si>
    <t>Rouges</t>
  </si>
  <si>
    <t>Jazz</t>
  </si>
  <si>
    <t>Honey Crunch</t>
  </si>
  <si>
    <t>Sundowner</t>
  </si>
  <si>
    <t>AMI</t>
  </si>
  <si>
    <t>ANPP</t>
  </si>
  <si>
    <t>France</t>
  </si>
  <si>
    <t>Red Jonaprince</t>
  </si>
  <si>
    <t>Other new varieties</t>
  </si>
  <si>
    <t>Denmark:</t>
  </si>
  <si>
    <t>Goldrush</t>
  </si>
  <si>
    <t>Angelys</t>
  </si>
  <si>
    <t>Beurré Hardy</t>
  </si>
  <si>
    <t>Guyot</t>
  </si>
  <si>
    <t>Passe Crassane</t>
  </si>
  <si>
    <t>Williams</t>
  </si>
  <si>
    <t>Club varieties</t>
  </si>
  <si>
    <t>APRIL</t>
  </si>
  <si>
    <t>Portugal:</t>
  </si>
  <si>
    <t>ANP - Associação Nacional de Produtores de Pera Rocha</t>
  </si>
  <si>
    <t>Portugal</t>
  </si>
  <si>
    <t>Rocha</t>
  </si>
  <si>
    <t xml:space="preserve">* Other new varieties: Ariane, Belgica, Cameo, Diwa, Greenstar, Goldrush, Honey Crunch, Jazz, Junami, Kanzi, Mairac, Rubens, Tentation (temptation), Wellant, ... </t>
  </si>
  <si>
    <t>Golden Delicius</t>
  </si>
  <si>
    <t>Choupette</t>
  </si>
  <si>
    <t>Concorde</t>
  </si>
  <si>
    <t>Ingrid Marid</t>
  </si>
  <si>
    <t>Evelina</t>
  </si>
  <si>
    <t>Bohemica</t>
  </si>
  <si>
    <t>Lucasova</t>
  </si>
  <si>
    <t>Doyenne du Comice</t>
  </si>
  <si>
    <t>Ligol</t>
  </si>
  <si>
    <t>AFRUCAT</t>
  </si>
  <si>
    <t>Honeycrisp</t>
  </si>
  <si>
    <t>** From 12/2014 Cox's is included in others</t>
  </si>
  <si>
    <t>Cox**</t>
  </si>
  <si>
    <t>Durondeau</t>
  </si>
  <si>
    <t>*Rocha pears are compared per two months, hence the next update will be in May.</t>
  </si>
  <si>
    <t>** As of the 2016/ 2017 season, the UK works with a different methodology, which is why the figures are not comparable.</t>
  </si>
  <si>
    <t>Forelle</t>
  </si>
  <si>
    <t>United Kingdom**</t>
  </si>
  <si>
    <t>Portugal*</t>
  </si>
  <si>
    <t>Moved 2019</t>
  </si>
  <si>
    <t>Please note that this is just indication. There might be a difference of +- 10%</t>
  </si>
  <si>
    <t>Variety: Gloster, Idared was send mostly to industry</t>
  </si>
  <si>
    <t>Overview Northern Hemisphere apple and pear stocks 2019-2020</t>
  </si>
  <si>
    <t>British Apples &amp; Pears</t>
  </si>
  <si>
    <t>Moved 2020</t>
  </si>
  <si>
    <t>%2020/2019</t>
  </si>
  <si>
    <t>Cosmic Crisp</t>
  </si>
  <si>
    <t xml:space="preserve">Granny Smith </t>
  </si>
  <si>
    <t>Mairac, Rubens, Tentation (temptation), Wellant, ... (specify if other)</t>
  </si>
  <si>
    <t>³ Other new varieties: Ariane, Belgica, Cameo, Diwa, Greenstar, Honey Crunch, Jazz, Junami, Kanzi,</t>
  </si>
  <si>
    <t>* Portugal: Rocha stocks are compared per two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</si>
</sst>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9" formatCode="0.0%"/>
  </numFmts>
  <fonts count="1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u/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12" fillId="4" borderId="0" applyNumberFormat="0" applyBorder="0" applyAlignment="0" applyProtection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11" fillId="0" borderId="0"/>
  </cellStyleXfs>
  <cellXfs count="174">
    <xf numFmtId="0" fontId="0" fillId="0" borderId="0" xfId="0"/>
    <xf numFmtId="3" fontId="0" fillId="0" borderId="0" xfId="0" applyNumberFormat="1"/>
    <xf numFmtId="3" fontId="1" fillId="0" borderId="0" xfId="0" applyNumberFormat="1" applyFont="1"/>
    <xf numFmtId="0" fontId="3" fillId="0" borderId="0" xfId="0" applyFont="1"/>
    <xf numFmtId="0" fontId="0" fillId="0" borderId="1" xfId="0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3" fontId="0" fillId="0" borderId="0" xfId="0" applyNumberFormat="1" applyFill="1"/>
    <xf numFmtId="0" fontId="0" fillId="0" borderId="0" xfId="0" applyFill="1"/>
    <xf numFmtId="0" fontId="1" fillId="0" borderId="0" xfId="0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3" fontId="1" fillId="0" borderId="0" xfId="0" applyNumberFormat="1" applyFont="1" applyFill="1" applyBorder="1"/>
    <xf numFmtId="3" fontId="0" fillId="0" borderId="1" xfId="0" applyNumberFormat="1" applyFill="1" applyBorder="1"/>
    <xf numFmtId="0" fontId="0" fillId="0" borderId="0" xfId="0" applyBorder="1"/>
    <xf numFmtId="3" fontId="0" fillId="0" borderId="0" xfId="0" applyNumberForma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/>
    </xf>
    <xf numFmtId="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0" fontId="0" fillId="0" borderId="0" xfId="0" quotePrefix="1" applyNumberFormat="1" applyFill="1" applyBorder="1"/>
    <xf numFmtId="0" fontId="0" fillId="0" borderId="0" xfId="0" applyNumberFormat="1" applyFill="1" applyBorder="1"/>
    <xf numFmtId="0" fontId="7" fillId="0" borderId="0" xfId="0" applyFont="1"/>
    <xf numFmtId="0" fontId="0" fillId="2" borderId="2" xfId="0" applyFill="1" applyBorder="1"/>
    <xf numFmtId="0" fontId="0" fillId="2" borderId="2" xfId="0" quotePrefix="1" applyNumberFormat="1" applyFill="1" applyBorder="1"/>
    <xf numFmtId="0" fontId="0" fillId="2" borderId="2" xfId="0" applyNumberFormat="1" applyFill="1" applyBorder="1"/>
    <xf numFmtId="0" fontId="0" fillId="2" borderId="3" xfId="0" quotePrefix="1" applyNumberFormat="1" applyFill="1" applyBorder="1"/>
    <xf numFmtId="0" fontId="1" fillId="2" borderId="4" xfId="0" applyFont="1" applyFill="1" applyBorder="1"/>
    <xf numFmtId="0" fontId="1" fillId="3" borderId="5" xfId="0" applyFont="1" applyFill="1" applyBorder="1"/>
    <xf numFmtId="14" fontId="1" fillId="0" borderId="5" xfId="0" applyNumberFormat="1" applyFont="1" applyFill="1" applyBorder="1" applyAlignment="1">
      <alignment horizontal="center"/>
    </xf>
    <xf numFmtId="14" fontId="1" fillId="0" borderId="6" xfId="0" applyNumberFormat="1" applyFont="1" applyBorder="1" applyAlignment="1">
      <alignment horizontal="center"/>
    </xf>
    <xf numFmtId="199" fontId="0" fillId="3" borderId="0" xfId="0" applyNumberFormat="1" applyFill="1" applyBorder="1"/>
    <xf numFmtId="199" fontId="0" fillId="3" borderId="1" xfId="0" applyNumberFormat="1" applyFill="1" applyBorder="1"/>
    <xf numFmtId="3" fontId="0" fillId="0" borderId="7" xfId="0" applyNumberFormat="1" applyBorder="1"/>
    <xf numFmtId="0" fontId="0" fillId="2" borderId="3" xfId="0" applyFill="1" applyBorder="1"/>
    <xf numFmtId="3" fontId="0" fillId="0" borderId="8" xfId="0" applyNumberFormat="1" applyBorder="1"/>
    <xf numFmtId="0" fontId="1" fillId="2" borderId="3" xfId="0" applyFont="1" applyFill="1" applyBorder="1"/>
    <xf numFmtId="199" fontId="1" fillId="3" borderId="1" xfId="0" applyNumberFormat="1" applyFont="1" applyFill="1" applyBorder="1"/>
    <xf numFmtId="3" fontId="1" fillId="0" borderId="1" xfId="0" applyNumberFormat="1" applyFont="1" applyFill="1" applyBorder="1"/>
    <xf numFmtId="3" fontId="1" fillId="0" borderId="8" xfId="0" applyNumberFormat="1" applyFont="1" applyBorder="1"/>
    <xf numFmtId="199" fontId="0" fillId="0" borderId="0" xfId="0" applyNumberFormat="1" applyFill="1" applyBorder="1"/>
    <xf numFmtId="0" fontId="1" fillId="2" borderId="3" xfId="0" applyNumberFormat="1" applyFont="1" applyFill="1" applyBorder="1"/>
    <xf numFmtId="3" fontId="0" fillId="0" borderId="0" xfId="0" applyNumberFormat="1" applyBorder="1"/>
    <xf numFmtId="3" fontId="0" fillId="0" borderId="7" xfId="0" applyNumberFormat="1" applyFill="1" applyBorder="1"/>
    <xf numFmtId="3" fontId="0" fillId="0" borderId="8" xfId="0" applyNumberFormat="1" applyFill="1" applyBorder="1"/>
    <xf numFmtId="3" fontId="1" fillId="0" borderId="8" xfId="0" applyNumberFormat="1" applyFont="1" applyFill="1" applyBorder="1"/>
    <xf numFmtId="14" fontId="1" fillId="0" borderId="6" xfId="0" applyNumberFormat="1" applyFont="1" applyFill="1" applyBorder="1" applyAlignment="1">
      <alignment horizontal="center"/>
    </xf>
    <xf numFmtId="3" fontId="3" fillId="0" borderId="0" xfId="0" applyNumberFormat="1" applyFont="1" applyBorder="1"/>
    <xf numFmtId="0" fontId="1" fillId="5" borderId="4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1" fillId="5" borderId="3" xfId="0" applyFont="1" applyFill="1" applyBorder="1"/>
    <xf numFmtId="3" fontId="3" fillId="6" borderId="0" xfId="0" applyNumberFormat="1" applyFont="1" applyFill="1" applyBorder="1"/>
    <xf numFmtId="3" fontId="3" fillId="6" borderId="1" xfId="0" applyNumberFormat="1" applyFont="1" applyFill="1" applyBorder="1"/>
    <xf numFmtId="3" fontId="1" fillId="6" borderId="5" xfId="0" applyNumberFormat="1" applyFont="1" applyFill="1" applyBorder="1"/>
    <xf numFmtId="3" fontId="1" fillId="0" borderId="5" xfId="0" applyNumberFormat="1" applyFont="1" applyBorder="1"/>
    <xf numFmtId="199" fontId="3" fillId="7" borderId="0" xfId="0" applyNumberFormat="1" applyFont="1" applyFill="1" applyBorder="1"/>
    <xf numFmtId="199" fontId="3" fillId="7" borderId="1" xfId="0" applyNumberFormat="1" applyFont="1" applyFill="1" applyBorder="1"/>
    <xf numFmtId="0" fontId="1" fillId="8" borderId="5" xfId="0" applyFont="1" applyFill="1" applyBorder="1"/>
    <xf numFmtId="0" fontId="3" fillId="0" borderId="0" xfId="2"/>
    <xf numFmtId="0" fontId="1" fillId="5" borderId="4" xfId="2" applyFont="1" applyFill="1" applyBorder="1"/>
    <xf numFmtId="0" fontId="3" fillId="0" borderId="0" xfId="2" applyFont="1"/>
    <xf numFmtId="0" fontId="3" fillId="5" borderId="2" xfId="2" applyFont="1" applyFill="1" applyBorder="1"/>
    <xf numFmtId="199" fontId="3" fillId="7" borderId="0" xfId="2" applyNumberFormat="1" applyFont="1" applyFill="1" applyBorder="1"/>
    <xf numFmtId="3" fontId="3" fillId="6" borderId="0" xfId="2" applyNumberFormat="1" applyFont="1" applyFill="1" applyBorder="1"/>
    <xf numFmtId="3" fontId="3" fillId="0" borderId="0" xfId="2" applyNumberFormat="1" applyFont="1" applyBorder="1"/>
    <xf numFmtId="0" fontId="3" fillId="5" borderId="3" xfId="2" applyFont="1" applyFill="1" applyBorder="1"/>
    <xf numFmtId="199" fontId="3" fillId="7" borderId="1" xfId="2" applyNumberFormat="1" applyFont="1" applyFill="1" applyBorder="1"/>
    <xf numFmtId="3" fontId="3" fillId="6" borderId="1" xfId="2" applyNumberFormat="1" applyFont="1" applyFill="1" applyBorder="1"/>
    <xf numFmtId="3" fontId="3" fillId="0" borderId="1" xfId="2" applyNumberFormat="1" applyFont="1" applyBorder="1"/>
    <xf numFmtId="0" fontId="1" fillId="5" borderId="3" xfId="2" applyFont="1" applyFill="1" applyBorder="1"/>
    <xf numFmtId="199" fontId="1" fillId="7" borderId="5" xfId="2" applyNumberFormat="1" applyFont="1" applyFill="1" applyBorder="1"/>
    <xf numFmtId="3" fontId="1" fillId="6" borderId="5" xfId="2" applyNumberFormat="1" applyFont="1" applyFill="1" applyBorder="1"/>
    <xf numFmtId="3" fontId="3" fillId="0" borderId="5" xfId="2" applyNumberFormat="1" applyFont="1" applyBorder="1"/>
    <xf numFmtId="3" fontId="3" fillId="0" borderId="7" xfId="0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6" xfId="2" applyNumberFormat="1" applyFont="1" applyBorder="1"/>
    <xf numFmtId="0" fontId="3" fillId="2" borderId="2" xfId="0" applyNumberFormat="1" applyFont="1" applyFill="1" applyBorder="1"/>
    <xf numFmtId="3" fontId="3" fillId="0" borderId="0" xfId="0" applyNumberFormat="1" applyFont="1"/>
    <xf numFmtId="3" fontId="3" fillId="0" borderId="0" xfId="0" applyNumberFormat="1" applyFont="1" applyFill="1" applyBorder="1"/>
    <xf numFmtId="3" fontId="3" fillId="0" borderId="1" xfId="0" applyNumberFormat="1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0" fontId="13" fillId="0" borderId="0" xfId="0" applyFont="1" applyFill="1" applyBorder="1"/>
    <xf numFmtId="3" fontId="3" fillId="0" borderId="0" xfId="2" applyNumberFormat="1" applyFont="1" applyFill="1" applyBorder="1"/>
    <xf numFmtId="3" fontId="3" fillId="0" borderId="1" xfId="2" applyNumberFormat="1" applyFont="1" applyFill="1" applyBorder="1"/>
    <xf numFmtId="3" fontId="3" fillId="0" borderId="7" xfId="2" applyNumberFormat="1" applyFont="1" applyFill="1" applyBorder="1"/>
    <xf numFmtId="3" fontId="3" fillId="0" borderId="8" xfId="2" applyNumberFormat="1" applyFont="1" applyFill="1" applyBorder="1"/>
    <xf numFmtId="0" fontId="1" fillId="0" borderId="0" xfId="2" applyFont="1"/>
    <xf numFmtId="199" fontId="1" fillId="7" borderId="1" xfId="0" applyNumberFormat="1" applyFont="1" applyFill="1" applyBorder="1"/>
    <xf numFmtId="0" fontId="1" fillId="0" borderId="0" xfId="0" applyFont="1"/>
    <xf numFmtId="0" fontId="1" fillId="0" borderId="5" xfId="0" applyFont="1" applyFill="1" applyBorder="1"/>
    <xf numFmtId="3" fontId="0" fillId="0" borderId="0" xfId="0" quotePrefix="1" applyNumberFormat="1" applyFill="1" applyBorder="1"/>
    <xf numFmtId="3" fontId="0" fillId="0" borderId="1" xfId="0" quotePrefix="1" applyNumberFormat="1" applyFill="1" applyBorder="1"/>
    <xf numFmtId="199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3" fontId="1" fillId="0" borderId="5" xfId="2" applyNumberFormat="1" applyFont="1" applyFill="1" applyBorder="1"/>
    <xf numFmtId="3" fontId="1" fillId="0" borderId="5" xfId="2" applyNumberFormat="1" applyFont="1" applyBorder="1"/>
    <xf numFmtId="3" fontId="1" fillId="0" borderId="6" xfId="2" applyNumberFormat="1" applyFont="1" applyBorder="1"/>
    <xf numFmtId="3" fontId="0" fillId="0" borderId="0" xfId="0" applyNumberFormat="1" applyFill="1" applyBorder="1" applyAlignment="1">
      <alignment horizontal="right"/>
    </xf>
    <xf numFmtId="3" fontId="1" fillId="0" borderId="5" xfId="0" applyNumberFormat="1" applyFont="1" applyFill="1" applyBorder="1"/>
    <xf numFmtId="0" fontId="3" fillId="0" borderId="0" xfId="0" applyFont="1" applyFill="1"/>
    <xf numFmtId="0" fontId="3" fillId="0" borderId="0" xfId="2" applyFill="1"/>
    <xf numFmtId="199" fontId="1" fillId="7" borderId="1" xfId="2" applyNumberFormat="1" applyFont="1" applyFill="1" applyBorder="1"/>
    <xf numFmtId="199" fontId="3" fillId="7" borderId="5" xfId="2" applyNumberFormat="1" applyFont="1" applyFill="1" applyBorder="1"/>
    <xf numFmtId="3" fontId="1" fillId="0" borderId="6" xfId="0" applyNumberFormat="1" applyFont="1" applyFill="1" applyBorder="1"/>
    <xf numFmtId="0" fontId="3" fillId="5" borderId="9" xfId="2" applyFont="1" applyFill="1" applyBorder="1"/>
    <xf numFmtId="199" fontId="3" fillId="7" borderId="10" xfId="2" applyNumberFormat="1" applyFont="1" applyFill="1" applyBorder="1"/>
    <xf numFmtId="3" fontId="3" fillId="0" borderId="10" xfId="2" applyNumberFormat="1" applyFont="1" applyFill="1" applyBorder="1"/>
    <xf numFmtId="3" fontId="3" fillId="0" borderId="11" xfId="2" applyNumberFormat="1" applyFont="1" applyFill="1" applyBorder="1"/>
    <xf numFmtId="3" fontId="1" fillId="0" borderId="6" xfId="2" applyNumberFormat="1" applyFont="1" applyFill="1" applyBorder="1"/>
    <xf numFmtId="3" fontId="3" fillId="0" borderId="7" xfId="0" applyNumberFormat="1" applyFont="1" applyFill="1" applyBorder="1" applyAlignment="1">
      <alignment horizontal="right"/>
    </xf>
    <xf numFmtId="3" fontId="1" fillId="6" borderId="1" xfId="0" applyNumberFormat="1" applyFont="1" applyFill="1" applyBorder="1"/>
    <xf numFmtId="3" fontId="1" fillId="0" borderId="1" xfId="2" applyNumberFormat="1" applyFont="1" applyFill="1" applyBorder="1"/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14" fontId="1" fillId="0" borderId="5" xfId="2" applyNumberFormat="1" applyFont="1" applyFill="1" applyBorder="1" applyAlignment="1">
      <alignment horizontal="center"/>
    </xf>
    <xf numFmtId="14" fontId="1" fillId="0" borderId="6" xfId="2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3" fontId="0" fillId="6" borderId="0" xfId="0" applyNumberFormat="1" applyFill="1" applyBorder="1"/>
    <xf numFmtId="3" fontId="12" fillId="0" borderId="0" xfId="1" applyNumberFormat="1" applyFill="1" applyBorder="1"/>
    <xf numFmtId="3" fontId="12" fillId="0" borderId="7" xfId="1" applyNumberFormat="1" applyFill="1" applyBorder="1"/>
    <xf numFmtId="14" fontId="1" fillId="6" borderId="5" xfId="0" applyNumberFormat="1" applyFont="1" applyFill="1" applyBorder="1"/>
    <xf numFmtId="3" fontId="0" fillId="6" borderId="1" xfId="0" applyNumberFormat="1" applyFill="1" applyBorder="1"/>
    <xf numFmtId="199" fontId="0" fillId="3" borderId="5" xfId="0" applyNumberFormat="1" applyFill="1" applyBorder="1"/>
    <xf numFmtId="199" fontId="3" fillId="8" borderId="0" xfId="0" applyNumberFormat="1" applyFont="1" applyFill="1" applyBorder="1"/>
    <xf numFmtId="3" fontId="3" fillId="6" borderId="10" xfId="2" applyNumberFormat="1" applyFont="1" applyFill="1" applyBorder="1"/>
    <xf numFmtId="3" fontId="1" fillId="6" borderId="1" xfId="2" applyNumberFormat="1" applyFont="1" applyFill="1" applyBorder="1"/>
    <xf numFmtId="3" fontId="1" fillId="0" borderId="5" xfId="0" applyNumberFormat="1" applyFont="1" applyFill="1" applyBorder="1" applyAlignment="1">
      <alignment horizontal="right"/>
    </xf>
    <xf numFmtId="3" fontId="3" fillId="0" borderId="0" xfId="0" quotePrefix="1" applyNumberFormat="1" applyFont="1" applyFill="1" applyBorder="1"/>
    <xf numFmtId="14" fontId="1" fillId="0" borderId="5" xfId="0" applyNumberFormat="1" applyFont="1" applyFill="1" applyBorder="1"/>
    <xf numFmtId="199" fontId="3" fillId="0" borderId="0" xfId="0" applyNumberFormat="1" applyFont="1" applyFill="1" applyBorder="1"/>
    <xf numFmtId="199" fontId="1" fillId="0" borderId="5" xfId="0" applyNumberFormat="1" applyFont="1" applyFill="1" applyBorder="1"/>
    <xf numFmtId="199" fontId="3" fillId="0" borderId="0" xfId="2" applyNumberFormat="1" applyFont="1" applyFill="1" applyBorder="1"/>
    <xf numFmtId="199" fontId="1" fillId="0" borderId="5" xfId="2" applyNumberFormat="1" applyFont="1" applyFill="1" applyBorder="1"/>
    <xf numFmtId="199" fontId="3" fillId="6" borderId="0" xfId="0" applyNumberFormat="1" applyFont="1" applyFill="1" applyBorder="1"/>
    <xf numFmtId="199" fontId="1" fillId="6" borderId="5" xfId="0" applyNumberFormat="1" applyFont="1" applyFill="1" applyBorder="1"/>
    <xf numFmtId="3" fontId="0" fillId="8" borderId="1" xfId="0" applyNumberFormat="1" applyFill="1" applyBorder="1"/>
    <xf numFmtId="3" fontId="0" fillId="8" borderId="0" xfId="0" applyNumberFormat="1" applyFill="1" applyBorder="1"/>
    <xf numFmtId="3" fontId="3" fillId="8" borderId="0" xfId="0" applyNumberFormat="1" applyFont="1" applyFill="1" applyBorder="1"/>
    <xf numFmtId="3" fontId="3" fillId="8" borderId="1" xfId="0" applyNumberFormat="1" applyFont="1" applyFill="1" applyBorder="1"/>
    <xf numFmtId="3" fontId="3" fillId="8" borderId="5" xfId="0" applyNumberFormat="1" applyFont="1" applyFill="1" applyBorder="1"/>
    <xf numFmtId="3" fontId="0" fillId="8" borderId="10" xfId="0" applyNumberFormat="1" applyFill="1" applyBorder="1"/>
    <xf numFmtId="0" fontId="10" fillId="0" borderId="0" xfId="0" applyFont="1"/>
    <xf numFmtId="3" fontId="1" fillId="8" borderId="5" xfId="0" applyNumberFormat="1" applyFont="1" applyFill="1" applyBorder="1"/>
    <xf numFmtId="0" fontId="1" fillId="2" borderId="4" xfId="0" applyNumberFormat="1" applyFont="1" applyFill="1" applyBorder="1"/>
    <xf numFmtId="3" fontId="1" fillId="0" borderId="6" xfId="0" applyNumberFormat="1" applyFont="1" applyBorder="1"/>
    <xf numFmtId="199" fontId="3" fillId="7" borderId="5" xfId="0" applyNumberFormat="1" applyFont="1" applyFill="1" applyBorder="1"/>
    <xf numFmtId="199" fontId="3" fillId="6" borderId="0" xfId="2" applyNumberFormat="1" applyFont="1" applyFill="1" applyBorder="1"/>
    <xf numFmtId="199" fontId="1" fillId="6" borderId="5" xfId="2" applyNumberFormat="1" applyFont="1" applyFill="1" applyBorder="1"/>
    <xf numFmtId="0" fontId="3" fillId="7" borderId="0" xfId="0" applyNumberFormat="1" applyFont="1" applyFill="1" applyBorder="1"/>
    <xf numFmtId="0" fontId="3" fillId="7" borderId="5" xfId="0" applyNumberFormat="1" applyFont="1" applyFill="1" applyBorder="1"/>
    <xf numFmtId="199" fontId="1" fillId="8" borderId="5" xfId="0" applyNumberFormat="1" applyFont="1" applyFill="1" applyBorder="1"/>
    <xf numFmtId="3" fontId="0" fillId="0" borderId="10" xfId="0" applyNumberFormat="1" applyFill="1" applyBorder="1"/>
    <xf numFmtId="199" fontId="1" fillId="3" borderId="5" xfId="0" applyNumberFormat="1" applyFont="1" applyFill="1" applyBorder="1"/>
    <xf numFmtId="0" fontId="1" fillId="5" borderId="4" xfId="0" applyFont="1" applyFill="1" applyBorder="1"/>
    <xf numFmtId="0" fontId="3" fillId="5" borderId="2" xfId="0" applyFont="1" applyFill="1" applyBorder="1"/>
    <xf numFmtId="3" fontId="3" fillId="6" borderId="0" xfId="0" applyNumberFormat="1" applyFont="1" applyFill="1" applyBorder="1"/>
    <xf numFmtId="3" fontId="1" fillId="6" borderId="5" xfId="0" applyNumberFormat="1" applyFont="1" applyFill="1" applyBorder="1"/>
    <xf numFmtId="199" fontId="3" fillId="7" borderId="0" xfId="0" applyNumberFormat="1" applyFont="1" applyFill="1" applyBorder="1"/>
    <xf numFmtId="0" fontId="1" fillId="8" borderId="5" xfId="0" applyFont="1" applyFill="1" applyBorder="1"/>
    <xf numFmtId="3" fontId="3" fillId="6" borderId="0" xfId="2" applyNumberFormat="1" applyFont="1" applyFill="1" applyBorder="1"/>
    <xf numFmtId="199" fontId="1" fillId="7" borderId="5" xfId="2" applyNumberFormat="1" applyFont="1" applyFill="1" applyBorder="1"/>
    <xf numFmtId="14" fontId="1" fillId="6" borderId="5" xfId="0" applyNumberFormat="1" applyFont="1" applyFill="1" applyBorder="1"/>
    <xf numFmtId="3" fontId="3" fillId="8" borderId="0" xfId="0" applyNumberFormat="1" applyFont="1" applyFill="1" applyBorder="1"/>
    <xf numFmtId="3" fontId="1" fillId="8" borderId="5" xfId="0" applyNumberFormat="1" applyFont="1" applyFill="1" applyBorder="1"/>
    <xf numFmtId="199" fontId="1" fillId="7" borderId="5" xfId="0" applyNumberFormat="1" applyFont="1" applyFill="1" applyBorder="1"/>
    <xf numFmtId="3" fontId="1" fillId="8" borderId="1" xfId="0" applyNumberFormat="1" applyFont="1" applyFill="1" applyBorder="1"/>
  </cellXfs>
  <cellStyles count="8">
    <cellStyle name="Normal 2" xfId="2"/>
    <cellStyle name="Normale 4" xfId="3"/>
    <cellStyle name="Normale 4 2" xfId="4"/>
    <cellStyle name="Normale 7" xfId="5"/>
    <cellStyle name="Normale_4_uesto_pere" xfId="6"/>
    <cellStyle name="Ongeldig" xfId="1" builtinId="27"/>
    <cellStyle name="Standaard" xfId="0" builtinId="0"/>
    <cellStyle name="Standard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523875</xdr:colOff>
      <xdr:row>16</xdr:row>
      <xdr:rowOff>19050</xdr:rowOff>
    </xdr:to>
    <xdr:pic>
      <xdr:nvPicPr>
        <xdr:cNvPr id="1863" name="Picture 6" descr="WAPA FINAL">
          <a:extLst>
            <a:ext uri="{FF2B5EF4-FFF2-40B4-BE49-F238E27FC236}">
              <a16:creationId xmlns:a16="http://schemas.microsoft.com/office/drawing/2014/main" id="{6A40431F-AEAA-4C6A-997C-32709BDA6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3850"/>
          <a:ext cx="23622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ben/Downloads/Stocks%20NH%20Marc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US"/>
      <sheetName val="EU - country"/>
      <sheetName val="EU - variety"/>
      <sheetName val="Austria"/>
      <sheetName val="Belgium"/>
      <sheetName val="Czech Republic"/>
      <sheetName val="Denmark"/>
      <sheetName val="France"/>
      <sheetName val="Germany"/>
      <sheetName val="Italy"/>
      <sheetName val="Poland"/>
      <sheetName val="Portugal"/>
      <sheetName val="Spain"/>
      <sheetName val="Switzerland"/>
      <sheetName val="Netherlands"/>
      <sheetName val="UK"/>
    </sheetNames>
    <sheetDataSet>
      <sheetData sheetId="0" refreshError="1"/>
      <sheetData sheetId="1">
        <row r="2">
          <cell r="E2">
            <v>4707</v>
          </cell>
          <cell r="F2">
            <v>7203</v>
          </cell>
        </row>
        <row r="3">
          <cell r="E3">
            <v>1982</v>
          </cell>
          <cell r="F3">
            <v>3316</v>
          </cell>
        </row>
        <row r="4">
          <cell r="E4">
            <v>305</v>
          </cell>
        </row>
        <row r="5">
          <cell r="E5">
            <v>7451</v>
          </cell>
          <cell r="F5">
            <v>15645</v>
          </cell>
        </row>
        <row r="6">
          <cell r="E6">
            <v>186237</v>
          </cell>
          <cell r="F6">
            <v>153536</v>
          </cell>
        </row>
        <row r="7">
          <cell r="E7">
            <v>301165</v>
          </cell>
          <cell r="F7">
            <v>244606</v>
          </cell>
        </row>
        <row r="8">
          <cell r="E8">
            <v>100083</v>
          </cell>
          <cell r="F8">
            <v>56025</v>
          </cell>
        </row>
        <row r="9">
          <cell r="E9">
            <v>183912</v>
          </cell>
          <cell r="F9">
            <v>141474</v>
          </cell>
        </row>
        <row r="10">
          <cell r="E10">
            <v>123580</v>
          </cell>
          <cell r="F10">
            <v>96615</v>
          </cell>
        </row>
        <row r="11">
          <cell r="E11">
            <v>1887</v>
          </cell>
          <cell r="F11">
            <v>1029</v>
          </cell>
        </row>
        <row r="12">
          <cell r="F12">
            <v>7451</v>
          </cell>
        </row>
        <row r="13">
          <cell r="E13">
            <v>762</v>
          </cell>
          <cell r="F13">
            <v>2039</v>
          </cell>
        </row>
        <row r="14">
          <cell r="E14">
            <v>16446</v>
          </cell>
          <cell r="F14">
            <v>18713</v>
          </cell>
        </row>
        <row r="15">
          <cell r="E15">
            <v>781</v>
          </cell>
          <cell r="F15">
            <v>1277</v>
          </cell>
        </row>
        <row r="16">
          <cell r="E16">
            <v>381</v>
          </cell>
          <cell r="F16">
            <v>438</v>
          </cell>
        </row>
        <row r="17">
          <cell r="E17">
            <v>0</v>
          </cell>
        </row>
        <row r="18">
          <cell r="E18">
            <v>71461</v>
          </cell>
          <cell r="F18">
            <v>68603</v>
          </cell>
        </row>
        <row r="19">
          <cell r="E19">
            <v>312332</v>
          </cell>
          <cell r="F19">
            <v>355132</v>
          </cell>
        </row>
        <row r="20">
          <cell r="E20">
            <v>3259</v>
          </cell>
          <cell r="F20">
            <v>4211</v>
          </cell>
        </row>
        <row r="21">
          <cell r="E21">
            <v>438</v>
          </cell>
          <cell r="F21">
            <v>400</v>
          </cell>
        </row>
        <row r="22">
          <cell r="E22">
            <v>838</v>
          </cell>
          <cell r="F22">
            <v>2134</v>
          </cell>
        </row>
        <row r="23">
          <cell r="E23">
            <v>133</v>
          </cell>
          <cell r="F23">
            <v>267</v>
          </cell>
        </row>
        <row r="24">
          <cell r="E24">
            <v>0</v>
          </cell>
        </row>
        <row r="25">
          <cell r="E25">
            <v>210</v>
          </cell>
          <cell r="F25">
            <v>476</v>
          </cell>
        </row>
        <row r="26">
          <cell r="E26">
            <v>99017</v>
          </cell>
          <cell r="F26">
            <v>68069</v>
          </cell>
        </row>
        <row r="27">
          <cell r="E27">
            <v>1417367</v>
          </cell>
          <cell r="F27">
            <v>1248659</v>
          </cell>
        </row>
        <row r="31">
          <cell r="E31">
            <v>80095</v>
          </cell>
          <cell r="F31">
            <v>83560</v>
          </cell>
        </row>
        <row r="32">
          <cell r="E32">
            <v>9888</v>
          </cell>
          <cell r="F32">
            <v>21312</v>
          </cell>
        </row>
        <row r="33">
          <cell r="E33">
            <v>10049</v>
          </cell>
          <cell r="F33">
            <v>8187</v>
          </cell>
        </row>
        <row r="34">
          <cell r="E34">
            <v>139</v>
          </cell>
          <cell r="F34">
            <v>255</v>
          </cell>
        </row>
        <row r="35">
          <cell r="E35">
            <v>18</v>
          </cell>
          <cell r="F35">
            <v>9</v>
          </cell>
        </row>
        <row r="36">
          <cell r="E36">
            <v>68</v>
          </cell>
          <cell r="F36">
            <v>38</v>
          </cell>
        </row>
        <row r="37">
          <cell r="E37">
            <v>8</v>
          </cell>
          <cell r="F37">
            <v>47</v>
          </cell>
        </row>
        <row r="38">
          <cell r="E38">
            <v>0</v>
          </cell>
        </row>
        <row r="39">
          <cell r="E39">
            <v>0</v>
          </cell>
          <cell r="F39">
            <v>101</v>
          </cell>
        </row>
        <row r="40">
          <cell r="E40">
            <v>253</v>
          </cell>
          <cell r="F40">
            <v>1090.82</v>
          </cell>
        </row>
        <row r="41">
          <cell r="E41">
            <v>100518</v>
          </cell>
          <cell r="F41">
            <v>114599.82</v>
          </cell>
        </row>
      </sheetData>
      <sheetData sheetId="2">
        <row r="2">
          <cell r="E2">
            <v>61513.48</v>
          </cell>
          <cell r="F2">
            <v>86742.300000000017</v>
          </cell>
        </row>
        <row r="3">
          <cell r="E3">
            <v>90543</v>
          </cell>
          <cell r="F3">
            <v>99388</v>
          </cell>
        </row>
        <row r="4">
          <cell r="E4">
            <v>18133</v>
          </cell>
          <cell r="F4">
            <v>35399</v>
          </cell>
        </row>
        <row r="5">
          <cell r="E5">
            <v>2621</v>
          </cell>
          <cell r="F5">
            <v>7000</v>
          </cell>
        </row>
        <row r="6">
          <cell r="E6">
            <v>442534</v>
          </cell>
          <cell r="F6">
            <v>391058</v>
          </cell>
        </row>
        <row r="7">
          <cell r="E7">
            <v>172043</v>
          </cell>
          <cell r="F7">
            <v>252029</v>
          </cell>
        </row>
        <row r="8">
          <cell r="E8">
            <v>781037</v>
          </cell>
          <cell r="F8">
            <v>913478.04999999993</v>
          </cell>
        </row>
        <row r="9">
          <cell r="E9">
            <v>472000</v>
          </cell>
          <cell r="F9">
            <v>940000</v>
          </cell>
        </row>
        <row r="11">
          <cell r="E11">
            <v>188429</v>
          </cell>
          <cell r="F11">
            <v>145639</v>
          </cell>
        </row>
        <row r="12">
          <cell r="E12">
            <v>38197</v>
          </cell>
          <cell r="F12">
            <v>46069</v>
          </cell>
        </row>
        <row r="13">
          <cell r="E13">
            <v>114698</v>
          </cell>
          <cell r="F13">
            <v>102740.5</v>
          </cell>
        </row>
        <row r="14">
          <cell r="E14">
            <v>59896</v>
          </cell>
          <cell r="F14">
            <v>64367</v>
          </cell>
        </row>
        <row r="15">
          <cell r="E15">
            <v>2441644.48</v>
          </cell>
          <cell r="F15">
            <v>3083909.85</v>
          </cell>
        </row>
        <row r="19">
          <cell r="E19">
            <v>94476</v>
          </cell>
          <cell r="F19">
            <v>132875</v>
          </cell>
        </row>
        <row r="20">
          <cell r="E20">
            <v>1291</v>
          </cell>
          <cell r="F20">
            <v>1402</v>
          </cell>
        </row>
        <row r="21">
          <cell r="E21">
            <v>30</v>
          </cell>
          <cell r="F21">
            <v>260</v>
          </cell>
        </row>
        <row r="22">
          <cell r="E22">
            <v>2283</v>
          </cell>
          <cell r="F22">
            <v>4174</v>
          </cell>
        </row>
        <row r="23">
          <cell r="E23">
            <v>1140</v>
          </cell>
          <cell r="F23">
            <v>1197</v>
          </cell>
        </row>
        <row r="24">
          <cell r="E24">
            <v>0</v>
          </cell>
          <cell r="F24">
            <v>102127.62374008067</v>
          </cell>
        </row>
        <row r="25">
          <cell r="E25">
            <v>0</v>
          </cell>
          <cell r="F25">
            <v>2000</v>
          </cell>
        </row>
        <row r="26">
          <cell r="E26">
            <v>46875</v>
          </cell>
          <cell r="F26">
            <v>41335</v>
          </cell>
        </row>
        <row r="27">
          <cell r="E27">
            <v>41879</v>
          </cell>
          <cell r="F27">
            <v>40096</v>
          </cell>
        </row>
        <row r="28">
          <cell r="E28">
            <v>4311</v>
          </cell>
          <cell r="F28">
            <v>4119</v>
          </cell>
        </row>
        <row r="29">
          <cell r="E29">
            <v>121259</v>
          </cell>
          <cell r="F29">
            <v>143414</v>
          </cell>
        </row>
        <row r="30">
          <cell r="E30">
            <v>1575</v>
          </cell>
          <cell r="F30">
            <v>2812</v>
          </cell>
        </row>
        <row r="31">
          <cell r="E31">
            <v>315119</v>
          </cell>
          <cell r="F31">
            <v>475811.62374008069</v>
          </cell>
        </row>
      </sheetData>
      <sheetData sheetId="3">
        <row r="2">
          <cell r="E2">
            <v>0</v>
          </cell>
          <cell r="F2">
            <v>0</v>
          </cell>
        </row>
        <row r="3">
          <cell r="E3">
            <v>4529</v>
          </cell>
          <cell r="F3">
            <v>10246.1</v>
          </cell>
        </row>
        <row r="4">
          <cell r="E4">
            <v>93953.44</v>
          </cell>
          <cell r="F4">
            <v>111394.01000000001</v>
          </cell>
        </row>
        <row r="5">
          <cell r="E5">
            <v>19072</v>
          </cell>
          <cell r="F5">
            <v>26000</v>
          </cell>
        </row>
        <row r="6">
          <cell r="E6">
            <v>1474</v>
          </cell>
          <cell r="F6">
            <v>1793</v>
          </cell>
        </row>
        <row r="7">
          <cell r="E7">
            <v>0</v>
          </cell>
          <cell r="F7">
            <v>0</v>
          </cell>
        </row>
        <row r="8">
          <cell r="E8">
            <v>1182</v>
          </cell>
          <cell r="F8">
            <v>1827</v>
          </cell>
        </row>
        <row r="9">
          <cell r="E9">
            <v>96972</v>
          </cell>
          <cell r="F9">
            <v>98169.83</v>
          </cell>
        </row>
        <row r="10">
          <cell r="E10">
            <v>81754.64</v>
          </cell>
          <cell r="F10">
            <v>68028.850000000006</v>
          </cell>
        </row>
        <row r="11">
          <cell r="E11">
            <v>102599.64</v>
          </cell>
          <cell r="F11">
            <v>115045.24</v>
          </cell>
        </row>
        <row r="12">
          <cell r="E12">
            <v>187892.32</v>
          </cell>
          <cell r="F12">
            <v>213026.15</v>
          </cell>
        </row>
        <row r="13">
          <cell r="E13">
            <v>50139</v>
          </cell>
          <cell r="F13">
            <v>66241</v>
          </cell>
        </row>
        <row r="14">
          <cell r="E14">
            <v>805852.72</v>
          </cell>
          <cell r="F14">
            <v>827667.39</v>
          </cell>
        </row>
        <row r="15">
          <cell r="E15">
            <v>100018.08</v>
          </cell>
          <cell r="F15">
            <v>110713.1</v>
          </cell>
        </row>
        <row r="16">
          <cell r="E16">
            <v>0</v>
          </cell>
          <cell r="F16">
            <v>150</v>
          </cell>
        </row>
        <row r="17">
          <cell r="E17">
            <v>122149.6</v>
          </cell>
          <cell r="F17">
            <v>257177.65</v>
          </cell>
        </row>
        <row r="18">
          <cell r="E18">
            <v>132056.04</v>
          </cell>
          <cell r="F18">
            <v>183762.85</v>
          </cell>
        </row>
        <row r="19">
          <cell r="E19">
            <v>51589</v>
          </cell>
          <cell r="F19">
            <v>77734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E22">
            <v>7867</v>
          </cell>
          <cell r="F22">
            <v>10759.900000000001</v>
          </cell>
        </row>
        <row r="23">
          <cell r="E23">
            <v>37697.24</v>
          </cell>
          <cell r="F23">
            <v>49443.92</v>
          </cell>
        </row>
        <row r="24">
          <cell r="E24">
            <v>106211</v>
          </cell>
          <cell r="F24">
            <v>125966.61</v>
          </cell>
        </row>
        <row r="25">
          <cell r="E25">
            <v>95075.68</v>
          </cell>
          <cell r="F25">
            <v>58252.6</v>
          </cell>
        </row>
        <row r="26">
          <cell r="E26">
            <v>17461</v>
          </cell>
          <cell r="F26">
            <v>23459.9</v>
          </cell>
        </row>
        <row r="27">
          <cell r="E27">
            <v>60375</v>
          </cell>
          <cell r="F27">
            <v>131408</v>
          </cell>
        </row>
        <row r="28">
          <cell r="E28">
            <v>0</v>
          </cell>
          <cell r="F28">
            <v>2480.0500000000002</v>
          </cell>
        </row>
        <row r="29">
          <cell r="E29">
            <v>110</v>
          </cell>
          <cell r="F29">
            <v>35099</v>
          </cell>
        </row>
        <row r="30">
          <cell r="E30">
            <v>82349.08</v>
          </cell>
          <cell r="F30">
            <v>94232.15</v>
          </cell>
        </row>
        <row r="31">
          <cell r="E31">
            <v>183265</v>
          </cell>
          <cell r="F31">
            <v>383831.55</v>
          </cell>
        </row>
        <row r="32">
          <cell r="E32">
            <v>2441644.4800000004</v>
          </cell>
          <cell r="F32">
            <v>3083909.8499999992</v>
          </cell>
        </row>
        <row r="36">
          <cell r="E36">
            <v>0</v>
          </cell>
          <cell r="F36">
            <v>63971.905591621828</v>
          </cell>
        </row>
        <row r="37">
          <cell r="E37">
            <v>1764</v>
          </cell>
          <cell r="F37">
            <v>1211</v>
          </cell>
        </row>
        <row r="38">
          <cell r="E38">
            <v>1785</v>
          </cell>
          <cell r="F38">
            <v>3402</v>
          </cell>
        </row>
        <row r="39">
          <cell r="E39">
            <v>250938</v>
          </cell>
          <cell r="F39">
            <v>329039.97582456173</v>
          </cell>
        </row>
        <row r="40">
          <cell r="E40">
            <v>470</v>
          </cell>
          <cell r="F40">
            <v>5799.3212945060932</v>
          </cell>
        </row>
        <row r="41">
          <cell r="E41">
            <v>0</v>
          </cell>
          <cell r="F41">
            <v>9278.7162314291763</v>
          </cell>
        </row>
        <row r="42">
          <cell r="E42">
            <v>46875</v>
          </cell>
          <cell r="F42">
            <v>41335</v>
          </cell>
        </row>
        <row r="43">
          <cell r="E43">
            <v>13287</v>
          </cell>
          <cell r="F43">
            <v>21773.704797961836</v>
          </cell>
        </row>
        <row r="44">
          <cell r="E44">
            <v>315119</v>
          </cell>
          <cell r="F44">
            <v>475811.62374008063</v>
          </cell>
        </row>
      </sheetData>
      <sheetData sheetId="4">
        <row r="2">
          <cell r="E2">
            <v>495.88</v>
          </cell>
          <cell r="F2">
            <v>663.15</v>
          </cell>
        </row>
        <row r="3">
          <cell r="E3">
            <v>0</v>
          </cell>
          <cell r="F3">
            <v>0</v>
          </cell>
        </row>
        <row r="4">
          <cell r="E4">
            <v>6129.44</v>
          </cell>
          <cell r="F4">
            <v>10087.25</v>
          </cell>
        </row>
        <row r="5">
          <cell r="E5">
            <v>899.64</v>
          </cell>
          <cell r="F5">
            <v>3120.75</v>
          </cell>
        </row>
        <row r="6">
          <cell r="E6">
            <v>5925.08</v>
          </cell>
          <cell r="F6">
            <v>7666.05</v>
          </cell>
        </row>
        <row r="7">
          <cell r="E7">
            <v>1714.64</v>
          </cell>
          <cell r="F7">
            <v>2600.3000000000002</v>
          </cell>
        </row>
        <row r="8">
          <cell r="E8">
            <v>12088.32</v>
          </cell>
          <cell r="F8">
            <v>16528.2</v>
          </cell>
        </row>
        <row r="10">
          <cell r="E10">
            <v>19740.72</v>
          </cell>
          <cell r="F10">
            <v>20660.099999999999</v>
          </cell>
        </row>
        <row r="11">
          <cell r="E11">
            <v>82.08</v>
          </cell>
          <cell r="F11">
            <v>64.95</v>
          </cell>
        </row>
        <row r="12">
          <cell r="E12">
            <v>5290.6</v>
          </cell>
          <cell r="F12">
            <v>9634.65</v>
          </cell>
        </row>
        <row r="13">
          <cell r="E13">
            <v>3989.04</v>
          </cell>
          <cell r="F13">
            <v>6933.8</v>
          </cell>
        </row>
        <row r="14">
          <cell r="E14">
            <v>0</v>
          </cell>
          <cell r="F14">
            <v>0</v>
          </cell>
        </row>
        <row r="15">
          <cell r="E15">
            <v>0</v>
          </cell>
          <cell r="F15">
            <v>4.0999999999999996</v>
          </cell>
        </row>
        <row r="16">
          <cell r="E16">
            <v>793.24</v>
          </cell>
          <cell r="F16">
            <v>1327.8</v>
          </cell>
        </row>
        <row r="17">
          <cell r="E17">
            <v>1818.68</v>
          </cell>
          <cell r="F17">
            <v>1587.6</v>
          </cell>
        </row>
        <row r="18">
          <cell r="E18">
            <v>0</v>
          </cell>
          <cell r="F18">
            <v>12.6</v>
          </cell>
        </row>
        <row r="19">
          <cell r="E19">
            <v>1103.8</v>
          </cell>
          <cell r="F19">
            <v>4118.2</v>
          </cell>
        </row>
        <row r="20">
          <cell r="E20">
            <v>1442.32</v>
          </cell>
          <cell r="F20">
            <v>1732.8</v>
          </cell>
        </row>
        <row r="21">
          <cell r="E21">
            <v>61513.48</v>
          </cell>
          <cell r="F21">
            <v>86742.300000000017</v>
          </cell>
        </row>
      </sheetData>
      <sheetData sheetId="5">
        <row r="2">
          <cell r="E2">
            <v>162</v>
          </cell>
          <cell r="F2">
            <v>2459</v>
          </cell>
        </row>
        <row r="4">
          <cell r="E4">
            <v>211</v>
          </cell>
          <cell r="F4">
            <v>1446</v>
          </cell>
        </row>
        <row r="6">
          <cell r="E6">
            <v>14043</v>
          </cell>
          <cell r="F6">
            <v>8643</v>
          </cell>
        </row>
        <row r="7">
          <cell r="E7">
            <v>42249</v>
          </cell>
          <cell r="F7">
            <v>38222</v>
          </cell>
        </row>
        <row r="8">
          <cell r="E8">
            <v>27728</v>
          </cell>
          <cell r="F8">
            <v>31994</v>
          </cell>
        </row>
        <row r="9">
          <cell r="E9">
            <v>6150</v>
          </cell>
          <cell r="F9">
            <v>16624</v>
          </cell>
        </row>
        <row r="10">
          <cell r="E10">
            <v>90543</v>
          </cell>
          <cell r="F10">
            <v>99388</v>
          </cell>
        </row>
        <row r="15">
          <cell r="E15">
            <v>94210</v>
          </cell>
          <cell r="F15">
            <v>130573</v>
          </cell>
        </row>
        <row r="16">
          <cell r="E16">
            <v>25</v>
          </cell>
          <cell r="F16">
            <v>829</v>
          </cell>
        </row>
        <row r="17">
          <cell r="E17">
            <v>0</v>
          </cell>
        </row>
        <row r="18">
          <cell r="E18">
            <v>241</v>
          </cell>
          <cell r="F18">
            <v>1473</v>
          </cell>
        </row>
        <row r="19">
          <cell r="E19">
            <v>94476</v>
          </cell>
          <cell r="F19">
            <v>132875</v>
          </cell>
        </row>
      </sheetData>
      <sheetData sheetId="6">
        <row r="2">
          <cell r="E2">
            <v>1768</v>
          </cell>
          <cell r="F2">
            <v>2691</v>
          </cell>
        </row>
        <row r="3">
          <cell r="E3">
            <v>1862</v>
          </cell>
          <cell r="F3">
            <v>1370</v>
          </cell>
        </row>
        <row r="4">
          <cell r="E4">
            <v>139</v>
          </cell>
          <cell r="F4">
            <v>949</v>
          </cell>
        </row>
        <row r="5">
          <cell r="E5">
            <v>7757</v>
          </cell>
          <cell r="F5">
            <v>10649</v>
          </cell>
        </row>
        <row r="6">
          <cell r="E6">
            <v>2411</v>
          </cell>
          <cell r="F6">
            <v>7816</v>
          </cell>
        </row>
        <row r="7">
          <cell r="E7">
            <v>1843</v>
          </cell>
          <cell r="F7">
            <v>5764</v>
          </cell>
        </row>
        <row r="8">
          <cell r="E8">
            <v>878</v>
          </cell>
          <cell r="F8">
            <v>1612</v>
          </cell>
        </row>
        <row r="9">
          <cell r="E9">
            <v>302</v>
          </cell>
          <cell r="F9">
            <v>1217</v>
          </cell>
        </row>
        <row r="10">
          <cell r="E10">
            <v>30</v>
          </cell>
          <cell r="F10">
            <v>6</v>
          </cell>
        </row>
        <row r="11">
          <cell r="E11">
            <v>1143</v>
          </cell>
          <cell r="F11">
            <v>3325</v>
          </cell>
        </row>
        <row r="12">
          <cell r="E12">
            <v>18133</v>
          </cell>
          <cell r="F12">
            <v>35399</v>
          </cell>
        </row>
        <row r="16">
          <cell r="E16">
            <v>1210</v>
          </cell>
          <cell r="F16">
            <v>1286</v>
          </cell>
        </row>
        <row r="17">
          <cell r="E17">
            <v>0</v>
          </cell>
          <cell r="F17">
            <v>1</v>
          </cell>
        </row>
        <row r="18">
          <cell r="E18">
            <v>75</v>
          </cell>
          <cell r="F18">
            <v>37</v>
          </cell>
        </row>
        <row r="19">
          <cell r="E19">
            <v>0</v>
          </cell>
          <cell r="F19">
            <v>70</v>
          </cell>
        </row>
        <row r="20">
          <cell r="E20">
            <v>6</v>
          </cell>
          <cell r="F20">
            <v>8</v>
          </cell>
        </row>
        <row r="21">
          <cell r="E21">
            <v>1291</v>
          </cell>
          <cell r="F21">
            <v>1402</v>
          </cell>
        </row>
      </sheetData>
      <sheetData sheetId="7">
        <row r="2">
          <cell r="F2">
            <v>0</v>
          </cell>
        </row>
        <row r="3">
          <cell r="E3">
            <v>270</v>
          </cell>
          <cell r="F3">
            <v>229</v>
          </cell>
        </row>
        <row r="4">
          <cell r="F4">
            <v>0</v>
          </cell>
        </row>
        <row r="5">
          <cell r="E5">
            <v>714</v>
          </cell>
          <cell r="F5">
            <v>2030</v>
          </cell>
        </row>
        <row r="6">
          <cell r="F6">
            <v>8</v>
          </cell>
        </row>
        <row r="7">
          <cell r="E7">
            <v>25</v>
          </cell>
          <cell r="F7">
            <v>269</v>
          </cell>
        </row>
        <row r="10">
          <cell r="F10">
            <v>100</v>
          </cell>
        </row>
        <row r="11">
          <cell r="E11">
            <v>7</v>
          </cell>
          <cell r="F11">
            <v>14</v>
          </cell>
        </row>
        <row r="12">
          <cell r="F12">
            <v>49</v>
          </cell>
        </row>
        <row r="13">
          <cell r="F13">
            <v>51</v>
          </cell>
        </row>
        <row r="14">
          <cell r="E14">
            <v>630</v>
          </cell>
          <cell r="F14">
            <v>2206</v>
          </cell>
        </row>
        <row r="17">
          <cell r="F17">
            <v>8</v>
          </cell>
        </row>
        <row r="18">
          <cell r="E18">
            <v>909</v>
          </cell>
          <cell r="F18">
            <v>1948</v>
          </cell>
        </row>
        <row r="19">
          <cell r="E19">
            <v>66</v>
          </cell>
          <cell r="F19">
            <v>88</v>
          </cell>
        </row>
        <row r="20">
          <cell r="E20">
            <v>2621</v>
          </cell>
          <cell r="F20">
            <v>7000</v>
          </cell>
        </row>
        <row r="24">
          <cell r="E24">
            <v>4</v>
          </cell>
          <cell r="F24">
            <v>167</v>
          </cell>
        </row>
        <row r="26">
          <cell r="E26">
            <v>26</v>
          </cell>
          <cell r="F26">
            <v>93</v>
          </cell>
        </row>
        <row r="27">
          <cell r="E27">
            <v>30</v>
          </cell>
          <cell r="F27">
            <v>260</v>
          </cell>
        </row>
      </sheetData>
      <sheetData sheetId="8">
        <row r="2">
          <cell r="E2">
            <v>4177</v>
          </cell>
          <cell r="F2">
            <v>3790</v>
          </cell>
        </row>
        <row r="3">
          <cell r="E3">
            <v>17921</v>
          </cell>
          <cell r="F3">
            <v>14700</v>
          </cell>
        </row>
        <row r="4">
          <cell r="E4">
            <v>803</v>
          </cell>
          <cell r="F4">
            <v>1309</v>
          </cell>
        </row>
        <row r="5">
          <cell r="E5">
            <v>19399</v>
          </cell>
          <cell r="F5">
            <v>16141</v>
          </cell>
        </row>
        <row r="6">
          <cell r="E6">
            <v>0</v>
          </cell>
        </row>
        <row r="7">
          <cell r="E7">
            <v>3033</v>
          </cell>
          <cell r="F7">
            <v>4106</v>
          </cell>
        </row>
        <row r="8">
          <cell r="E8">
            <v>59064</v>
          </cell>
          <cell r="F8">
            <v>49602</v>
          </cell>
        </row>
        <row r="9">
          <cell r="E9">
            <v>759</v>
          </cell>
          <cell r="F9">
            <v>831</v>
          </cell>
        </row>
        <row r="10">
          <cell r="E10">
            <v>20505</v>
          </cell>
          <cell r="F10">
            <v>10952</v>
          </cell>
        </row>
        <row r="11">
          <cell r="E11">
            <v>49992</v>
          </cell>
          <cell r="F11">
            <v>54408</v>
          </cell>
        </row>
        <row r="12">
          <cell r="E12">
            <v>149223</v>
          </cell>
          <cell r="F12">
            <v>135684</v>
          </cell>
        </row>
        <row r="13">
          <cell r="E13">
            <v>2555</v>
          </cell>
          <cell r="F13">
            <v>1795</v>
          </cell>
        </row>
        <row r="14">
          <cell r="E14">
            <v>42854</v>
          </cell>
          <cell r="F14">
            <v>39985</v>
          </cell>
        </row>
        <row r="15">
          <cell r="E15">
            <v>4359</v>
          </cell>
          <cell r="F15">
            <v>1405</v>
          </cell>
        </row>
        <row r="16">
          <cell r="E16">
            <v>961</v>
          </cell>
          <cell r="F16">
            <v>1144</v>
          </cell>
        </row>
        <row r="17">
          <cell r="E17">
            <v>14506</v>
          </cell>
          <cell r="F17">
            <v>9758</v>
          </cell>
        </row>
        <row r="18">
          <cell r="E18">
            <v>11343</v>
          </cell>
          <cell r="F18">
            <v>10398</v>
          </cell>
        </row>
        <row r="19">
          <cell r="E19">
            <v>13103</v>
          </cell>
          <cell r="F19">
            <v>10148</v>
          </cell>
        </row>
        <row r="20">
          <cell r="E20">
            <v>207</v>
          </cell>
          <cell r="F20">
            <v>278</v>
          </cell>
        </row>
        <row r="21">
          <cell r="E21">
            <v>8495</v>
          </cell>
          <cell r="F21">
            <v>7185</v>
          </cell>
        </row>
        <row r="22">
          <cell r="E22">
            <v>1133</v>
          </cell>
          <cell r="F22">
            <v>409</v>
          </cell>
        </row>
        <row r="23">
          <cell r="E23">
            <v>9225</v>
          </cell>
          <cell r="F23">
            <v>8522</v>
          </cell>
        </row>
        <row r="24">
          <cell r="E24">
            <v>1761</v>
          </cell>
          <cell r="F24">
            <v>1899</v>
          </cell>
        </row>
        <row r="25">
          <cell r="E25">
            <v>7156</v>
          </cell>
          <cell r="F25">
            <v>6609</v>
          </cell>
        </row>
        <row r="26">
          <cell r="E26">
            <v>442534</v>
          </cell>
          <cell r="F26">
            <v>391058</v>
          </cell>
        </row>
        <row r="30">
          <cell r="E30">
            <v>609</v>
          </cell>
          <cell r="F30">
            <v>1101</v>
          </cell>
        </row>
        <row r="31">
          <cell r="E31">
            <v>0</v>
          </cell>
        </row>
        <row r="32">
          <cell r="E32">
            <v>1417</v>
          </cell>
          <cell r="F32">
            <v>1768</v>
          </cell>
        </row>
        <row r="33">
          <cell r="F33">
            <v>403</v>
          </cell>
        </row>
        <row r="35">
          <cell r="E35">
            <v>167</v>
          </cell>
          <cell r="F35">
            <v>566</v>
          </cell>
        </row>
        <row r="37">
          <cell r="E37">
            <v>90</v>
          </cell>
          <cell r="F37">
            <v>336</v>
          </cell>
        </row>
        <row r="38">
          <cell r="E38">
            <v>2283</v>
          </cell>
          <cell r="F38">
            <v>4174</v>
          </cell>
        </row>
      </sheetData>
      <sheetData sheetId="9">
        <row r="2">
          <cell r="E2">
            <v>2190</v>
          </cell>
          <cell r="F2">
            <v>4361</v>
          </cell>
        </row>
        <row r="3">
          <cell r="E3">
            <v>16498</v>
          </cell>
          <cell r="F3">
            <v>23214</v>
          </cell>
        </row>
        <row r="4">
          <cell r="E4">
            <v>0</v>
          </cell>
          <cell r="F4">
            <v>22</v>
          </cell>
        </row>
        <row r="5">
          <cell r="E5">
            <v>33951</v>
          </cell>
          <cell r="F5">
            <v>30296</v>
          </cell>
        </row>
        <row r="6">
          <cell r="E6">
            <v>4742</v>
          </cell>
          <cell r="F6">
            <v>7234</v>
          </cell>
        </row>
        <row r="7">
          <cell r="E7">
            <v>9343</v>
          </cell>
          <cell r="F7">
            <v>11013</v>
          </cell>
        </row>
        <row r="8">
          <cell r="F8">
            <v>287</v>
          </cell>
        </row>
        <row r="9">
          <cell r="E9">
            <v>2496</v>
          </cell>
          <cell r="F9">
            <v>2590</v>
          </cell>
        </row>
        <row r="10">
          <cell r="F10">
            <v>50</v>
          </cell>
        </row>
        <row r="11">
          <cell r="E11">
            <v>3282</v>
          </cell>
          <cell r="F11">
            <v>8187</v>
          </cell>
        </row>
        <row r="13">
          <cell r="E13">
            <v>10123</v>
          </cell>
          <cell r="F13">
            <v>24415</v>
          </cell>
        </row>
        <row r="14">
          <cell r="E14">
            <v>23231</v>
          </cell>
          <cell r="F14">
            <v>43534</v>
          </cell>
        </row>
        <row r="15">
          <cell r="E15">
            <v>5273</v>
          </cell>
          <cell r="F15">
            <v>6491</v>
          </cell>
        </row>
        <row r="16">
          <cell r="E16">
            <v>43257</v>
          </cell>
          <cell r="F16">
            <v>56665</v>
          </cell>
        </row>
        <row r="17">
          <cell r="E17">
            <v>73</v>
          </cell>
          <cell r="F17">
            <v>191</v>
          </cell>
        </row>
        <row r="18">
          <cell r="E18">
            <v>719</v>
          </cell>
          <cell r="F18">
            <v>1820</v>
          </cell>
        </row>
        <row r="19">
          <cell r="E19">
            <v>14326</v>
          </cell>
          <cell r="F19">
            <v>28957</v>
          </cell>
        </row>
        <row r="20">
          <cell r="E20">
            <v>2539</v>
          </cell>
          <cell r="F20">
            <v>2702</v>
          </cell>
        </row>
        <row r="21">
          <cell r="E21">
            <v>172043</v>
          </cell>
          <cell r="F21">
            <v>252029</v>
          </cell>
        </row>
        <row r="25">
          <cell r="E25">
            <v>1140</v>
          </cell>
          <cell r="F25">
            <v>1197</v>
          </cell>
        </row>
        <row r="26">
          <cell r="E26">
            <v>1140</v>
          </cell>
          <cell r="F26">
            <v>1197</v>
          </cell>
        </row>
      </sheetData>
      <sheetData sheetId="10">
        <row r="2">
          <cell r="E2">
            <v>0</v>
          </cell>
          <cell r="F2">
            <v>0</v>
          </cell>
        </row>
        <row r="3">
          <cell r="E3">
            <v>34169</v>
          </cell>
          <cell r="F3">
            <v>42330.76</v>
          </cell>
        </row>
        <row r="4">
          <cell r="E4">
            <v>37908</v>
          </cell>
          <cell r="F4">
            <v>48567.83</v>
          </cell>
        </row>
        <row r="5">
          <cell r="E5">
            <v>0</v>
          </cell>
          <cell r="F5">
            <v>0</v>
          </cell>
        </row>
        <row r="6">
          <cell r="E6">
            <v>59184</v>
          </cell>
          <cell r="F6">
            <v>76693.94</v>
          </cell>
        </row>
        <row r="7">
          <cell r="E7">
            <v>47048</v>
          </cell>
          <cell r="F7">
            <v>42119.95</v>
          </cell>
        </row>
        <row r="8">
          <cell r="E8">
            <v>0</v>
          </cell>
          <cell r="F8">
            <v>5</v>
          </cell>
        </row>
        <row r="9">
          <cell r="E9">
            <v>396281</v>
          </cell>
          <cell r="F9">
            <v>442897.19</v>
          </cell>
        </row>
        <row r="10">
          <cell r="E10">
            <v>40829</v>
          </cell>
          <cell r="F10">
            <v>56094.15</v>
          </cell>
        </row>
        <row r="11">
          <cell r="E11">
            <v>0</v>
          </cell>
          <cell r="F11">
            <v>40</v>
          </cell>
        </row>
        <row r="12">
          <cell r="E12">
            <v>4131</v>
          </cell>
          <cell r="F12">
            <v>4405.95</v>
          </cell>
        </row>
        <row r="13">
          <cell r="E13">
            <v>0</v>
          </cell>
          <cell r="F13">
            <v>0</v>
          </cell>
        </row>
        <row r="14">
          <cell r="E14">
            <v>7867</v>
          </cell>
          <cell r="F14">
            <v>10759.900000000001</v>
          </cell>
        </row>
        <row r="15">
          <cell r="E15">
            <v>26603</v>
          </cell>
          <cell r="F15">
            <v>26474.120000000003</v>
          </cell>
        </row>
        <row r="16">
          <cell r="E16">
            <v>76591</v>
          </cell>
          <cell r="F16">
            <v>101783.61</v>
          </cell>
        </row>
        <row r="17">
          <cell r="E17">
            <v>8759</v>
          </cell>
          <cell r="F17">
            <v>15787.9</v>
          </cell>
        </row>
        <row r="18">
          <cell r="F18">
            <v>2480.0500000000002</v>
          </cell>
        </row>
        <row r="19">
          <cell r="E19">
            <v>41667</v>
          </cell>
          <cell r="F19">
            <v>43037.700000000004</v>
          </cell>
        </row>
        <row r="20">
          <cell r="E20">
            <v>781037</v>
          </cell>
          <cell r="F20">
            <v>913478.04999999993</v>
          </cell>
        </row>
        <row r="24">
          <cell r="E24">
            <v>0</v>
          </cell>
          <cell r="F24">
            <v>63971.905591621828</v>
          </cell>
        </row>
        <row r="25">
          <cell r="E25">
            <v>0</v>
          </cell>
          <cell r="F25">
            <v>22640.97582456173</v>
          </cell>
        </row>
        <row r="26">
          <cell r="E26">
            <v>0</v>
          </cell>
          <cell r="F26">
            <v>2214.3212945060932</v>
          </cell>
        </row>
        <row r="27">
          <cell r="E27">
            <v>0</v>
          </cell>
          <cell r="F27">
            <v>9278.7162314291763</v>
          </cell>
        </row>
        <row r="28">
          <cell r="E28">
            <v>0</v>
          </cell>
          <cell r="F28">
            <v>4021.7047979618369</v>
          </cell>
        </row>
        <row r="29">
          <cell r="E29">
            <v>0</v>
          </cell>
          <cell r="F29">
            <v>102127.62374008067</v>
          </cell>
        </row>
      </sheetData>
      <sheetData sheetId="11">
        <row r="5">
          <cell r="E5">
            <v>30000</v>
          </cell>
          <cell r="F5">
            <v>50000</v>
          </cell>
        </row>
        <row r="6">
          <cell r="E6">
            <v>50000</v>
          </cell>
          <cell r="F6">
            <v>65000</v>
          </cell>
        </row>
        <row r="7">
          <cell r="E7">
            <v>80000</v>
          </cell>
          <cell r="F7">
            <v>105000</v>
          </cell>
        </row>
        <row r="8">
          <cell r="E8">
            <v>110000</v>
          </cell>
          <cell r="F8">
            <v>230000</v>
          </cell>
        </row>
        <row r="9">
          <cell r="E9">
            <v>20000</v>
          </cell>
          <cell r="F9">
            <v>55000</v>
          </cell>
        </row>
        <row r="10">
          <cell r="E10">
            <v>15000</v>
          </cell>
          <cell r="F10">
            <v>95000</v>
          </cell>
        </row>
        <row r="12">
          <cell r="E12">
            <v>5000</v>
          </cell>
          <cell r="F12">
            <v>15000</v>
          </cell>
        </row>
        <row r="13">
          <cell r="E13">
            <v>2000</v>
          </cell>
        </row>
        <row r="14">
          <cell r="E14">
            <v>50000</v>
          </cell>
          <cell r="F14">
            <v>0</v>
          </cell>
        </row>
        <row r="15">
          <cell r="E15">
            <v>60000</v>
          </cell>
          <cell r="F15">
            <v>130000</v>
          </cell>
        </row>
        <row r="16">
          <cell r="F16">
            <v>35000</v>
          </cell>
        </row>
        <row r="17">
          <cell r="E17">
            <v>50000</v>
          </cell>
          <cell r="F17">
            <v>160000</v>
          </cell>
        </row>
        <row r="18">
          <cell r="E18">
            <v>472000</v>
          </cell>
          <cell r="F18">
            <v>940000</v>
          </cell>
        </row>
        <row r="22">
          <cell r="E22">
            <v>0</v>
          </cell>
          <cell r="F22">
            <v>2000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  <cell r="F25">
            <v>2000</v>
          </cell>
        </row>
      </sheetData>
      <sheetData sheetId="12" refreshError="1"/>
      <sheetData sheetId="13">
        <row r="2">
          <cell r="E2">
            <v>16454</v>
          </cell>
          <cell r="F2">
            <v>17557</v>
          </cell>
        </row>
        <row r="3">
          <cell r="E3">
            <v>2800</v>
          </cell>
          <cell r="F3">
            <v>4143</v>
          </cell>
        </row>
        <row r="4">
          <cell r="E4">
            <v>123599</v>
          </cell>
          <cell r="F4">
            <v>88545</v>
          </cell>
        </row>
        <row r="5">
          <cell r="E5">
            <v>16126</v>
          </cell>
          <cell r="F5">
            <v>14422</v>
          </cell>
        </row>
        <row r="6">
          <cell r="E6">
            <v>13639</v>
          </cell>
          <cell r="F6">
            <v>12423</v>
          </cell>
        </row>
        <row r="7">
          <cell r="E7">
            <v>15811</v>
          </cell>
          <cell r="F7">
            <v>8549</v>
          </cell>
        </row>
        <row r="8">
          <cell r="E8">
            <v>188429</v>
          </cell>
          <cell r="F8">
            <v>145639</v>
          </cell>
        </row>
        <row r="12">
          <cell r="E12">
            <v>1764</v>
          </cell>
          <cell r="F12">
            <v>1211</v>
          </cell>
        </row>
        <row r="13">
          <cell r="E13">
            <v>1785</v>
          </cell>
          <cell r="F13">
            <v>3402</v>
          </cell>
        </row>
        <row r="14">
          <cell r="E14">
            <v>37113</v>
          </cell>
          <cell r="F14">
            <v>34320</v>
          </cell>
        </row>
        <row r="15">
          <cell r="E15">
            <v>1</v>
          </cell>
        </row>
        <row r="16">
          <cell r="E16">
            <v>1216</v>
          </cell>
          <cell r="F16">
            <v>1163</v>
          </cell>
        </row>
        <row r="17">
          <cell r="E17">
            <v>41879</v>
          </cell>
          <cell r="F17">
            <v>40096</v>
          </cell>
        </row>
      </sheetData>
      <sheetData sheetId="14">
        <row r="2">
          <cell r="E2">
            <v>3</v>
          </cell>
          <cell r="F2">
            <v>44</v>
          </cell>
        </row>
        <row r="3">
          <cell r="E3">
            <v>5151</v>
          </cell>
          <cell r="F3">
            <v>7305</v>
          </cell>
        </row>
        <row r="4">
          <cell r="E4">
            <v>0</v>
          </cell>
          <cell r="F4">
            <v>41</v>
          </cell>
        </row>
        <row r="5">
          <cell r="E5">
            <v>0</v>
          </cell>
          <cell r="F5">
            <v>2</v>
          </cell>
        </row>
        <row r="6">
          <cell r="E6">
            <v>13677</v>
          </cell>
          <cell r="F6">
            <v>14253</v>
          </cell>
        </row>
        <row r="7">
          <cell r="E7">
            <v>26</v>
          </cell>
          <cell r="F7">
            <v>111</v>
          </cell>
        </row>
        <row r="8">
          <cell r="E8">
            <v>8815</v>
          </cell>
          <cell r="F8">
            <v>7905</v>
          </cell>
        </row>
        <row r="9">
          <cell r="E9">
            <v>127</v>
          </cell>
          <cell r="F9">
            <v>147</v>
          </cell>
        </row>
        <row r="10">
          <cell r="E10">
            <v>198</v>
          </cell>
          <cell r="F10">
            <v>342</v>
          </cell>
        </row>
        <row r="11">
          <cell r="E11">
            <v>1838</v>
          </cell>
          <cell r="F11">
            <v>1729</v>
          </cell>
        </row>
        <row r="12">
          <cell r="E12">
            <v>0</v>
          </cell>
          <cell r="F12">
            <v>209</v>
          </cell>
        </row>
        <row r="13">
          <cell r="E13">
            <v>27</v>
          </cell>
          <cell r="F13">
            <v>367</v>
          </cell>
        </row>
        <row r="14">
          <cell r="E14">
            <v>28</v>
          </cell>
          <cell r="F14">
            <v>151</v>
          </cell>
        </row>
        <row r="15">
          <cell r="E15">
            <v>0</v>
          </cell>
          <cell r="F15">
            <v>22</v>
          </cell>
        </row>
        <row r="16">
          <cell r="E16">
            <v>22</v>
          </cell>
          <cell r="F16">
            <v>494</v>
          </cell>
        </row>
        <row r="17">
          <cell r="E17">
            <v>6450</v>
          </cell>
          <cell r="F17">
            <v>9423</v>
          </cell>
        </row>
        <row r="18">
          <cell r="E18">
            <v>1835</v>
          </cell>
          <cell r="F18">
            <v>3524</v>
          </cell>
        </row>
        <row r="19">
          <cell r="E19">
            <v>38197</v>
          </cell>
          <cell r="F19">
            <v>46069</v>
          </cell>
        </row>
        <row r="23">
          <cell r="E23">
            <v>3532</v>
          </cell>
          <cell r="F23">
            <v>3434</v>
          </cell>
        </row>
        <row r="24">
          <cell r="E24">
            <v>522</v>
          </cell>
          <cell r="F24">
            <v>163</v>
          </cell>
        </row>
        <row r="25">
          <cell r="E25">
            <v>127</v>
          </cell>
          <cell r="F25">
            <v>296</v>
          </cell>
        </row>
        <row r="26">
          <cell r="E26">
            <v>25</v>
          </cell>
          <cell r="F26">
            <v>0</v>
          </cell>
        </row>
        <row r="27">
          <cell r="E27">
            <v>105</v>
          </cell>
          <cell r="F27">
            <v>226</v>
          </cell>
        </row>
        <row r="28">
          <cell r="E28">
            <v>4311</v>
          </cell>
          <cell r="F28">
            <v>4119</v>
          </cell>
        </row>
      </sheetData>
      <sheetData sheetId="15">
        <row r="2">
          <cell r="E2">
            <v>1371</v>
          </cell>
          <cell r="F2">
            <v>2073.1</v>
          </cell>
        </row>
        <row r="3">
          <cell r="E3">
            <v>45220</v>
          </cell>
          <cell r="F3">
            <v>30303.1</v>
          </cell>
        </row>
        <row r="4">
          <cell r="E4">
            <v>3898</v>
          </cell>
          <cell r="F4">
            <v>5094.1000000000004</v>
          </cell>
        </row>
        <row r="5">
          <cell r="E5">
            <v>36484</v>
          </cell>
          <cell r="F5">
            <v>36744.1</v>
          </cell>
        </row>
        <row r="6">
          <cell r="E6">
            <v>22667</v>
          </cell>
          <cell r="F6">
            <v>23091.1</v>
          </cell>
        </row>
        <row r="7">
          <cell r="E7">
            <v>5058</v>
          </cell>
          <cell r="F7">
            <v>5435</v>
          </cell>
        </row>
        <row r="8">
          <cell r="E8">
            <v>114698</v>
          </cell>
          <cell r="F8">
            <v>102740.5</v>
          </cell>
        </row>
        <row r="12">
          <cell r="E12">
            <v>114992</v>
          </cell>
          <cell r="F12">
            <v>133343</v>
          </cell>
        </row>
        <row r="13">
          <cell r="E13">
            <v>445</v>
          </cell>
          <cell r="F13">
            <v>2320</v>
          </cell>
        </row>
        <row r="14">
          <cell r="E14">
            <v>5822</v>
          </cell>
          <cell r="F14">
            <v>7751</v>
          </cell>
        </row>
        <row r="15">
          <cell r="E15">
            <v>121259</v>
          </cell>
          <cell r="F15">
            <v>143414</v>
          </cell>
        </row>
      </sheetData>
      <sheetData sheetId="16">
        <row r="2">
          <cell r="E2">
            <v>10839</v>
          </cell>
          <cell r="F2">
            <v>9625</v>
          </cell>
        </row>
        <row r="3">
          <cell r="E3">
            <v>19072</v>
          </cell>
          <cell r="F3">
            <v>26000</v>
          </cell>
        </row>
        <row r="4">
          <cell r="E4">
            <v>1474</v>
          </cell>
          <cell r="F4">
            <v>1793</v>
          </cell>
        </row>
        <row r="5">
          <cell r="E5">
            <v>1182</v>
          </cell>
          <cell r="F5">
            <v>1764</v>
          </cell>
        </row>
        <row r="6">
          <cell r="E6">
            <v>21057</v>
          </cell>
          <cell r="F6">
            <v>18922</v>
          </cell>
        </row>
        <row r="7">
          <cell r="E7">
            <v>56</v>
          </cell>
          <cell r="F7">
            <v>100</v>
          </cell>
        </row>
        <row r="9">
          <cell r="E9">
            <v>80</v>
          </cell>
          <cell r="F9">
            <v>85</v>
          </cell>
        </row>
        <row r="10">
          <cell r="E10">
            <v>4714</v>
          </cell>
          <cell r="F10">
            <v>4500</v>
          </cell>
        </row>
        <row r="11">
          <cell r="E11">
            <v>1422</v>
          </cell>
          <cell r="F11">
            <v>1578</v>
          </cell>
        </row>
        <row r="12">
          <cell r="E12">
            <v>59896</v>
          </cell>
          <cell r="F12">
            <v>64367</v>
          </cell>
        </row>
        <row r="16">
          <cell r="E16">
            <v>1470</v>
          </cell>
          <cell r="F16">
            <v>2779</v>
          </cell>
        </row>
        <row r="17">
          <cell r="E17">
            <v>0</v>
          </cell>
          <cell r="F17">
            <v>33</v>
          </cell>
        </row>
        <row r="18">
          <cell r="E18">
            <v>105</v>
          </cell>
        </row>
        <row r="19">
          <cell r="E19">
            <v>1575</v>
          </cell>
          <cell r="F19">
            <v>2812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9:G39"/>
  <sheetViews>
    <sheetView zoomScale="90" zoomScaleNormal="90" workbookViewId="0">
      <selection activeCell="H24" sqref="H24"/>
    </sheetView>
  </sheetViews>
  <sheetFormatPr defaultRowHeight="12.75" x14ac:dyDescent="0.2"/>
  <cols>
    <col min="3" max="3" width="18.42578125" customWidth="1"/>
  </cols>
  <sheetData>
    <row r="19" spans="2:7" x14ac:dyDescent="0.2">
      <c r="B19" s="3" t="s">
        <v>171</v>
      </c>
      <c r="G19" s="95" t="s">
        <v>143</v>
      </c>
    </row>
    <row r="21" spans="2:7" x14ac:dyDescent="0.2">
      <c r="B21" t="s">
        <v>62</v>
      </c>
      <c r="C21" t="s">
        <v>63</v>
      </c>
    </row>
    <row r="22" spans="2:7" x14ac:dyDescent="0.2">
      <c r="C22" t="s">
        <v>64</v>
      </c>
    </row>
    <row r="23" spans="2:7" x14ac:dyDescent="0.2">
      <c r="C23" t="s">
        <v>90</v>
      </c>
    </row>
    <row r="24" spans="2:7" x14ac:dyDescent="0.2">
      <c r="C24" s="3" t="s">
        <v>118</v>
      </c>
    </row>
    <row r="26" spans="2:7" x14ac:dyDescent="0.2">
      <c r="B26" t="s">
        <v>65</v>
      </c>
      <c r="C26" t="s">
        <v>66</v>
      </c>
      <c r="D26" t="s">
        <v>67</v>
      </c>
    </row>
    <row r="27" spans="2:7" x14ac:dyDescent="0.2">
      <c r="C27" t="s">
        <v>68</v>
      </c>
      <c r="D27" t="s">
        <v>69</v>
      </c>
    </row>
    <row r="28" spans="2:7" x14ac:dyDescent="0.2">
      <c r="C28" t="s">
        <v>70</v>
      </c>
      <c r="D28" t="s">
        <v>71</v>
      </c>
    </row>
    <row r="29" spans="2:7" x14ac:dyDescent="0.2">
      <c r="C29" t="s">
        <v>72</v>
      </c>
      <c r="D29" s="3" t="s">
        <v>86</v>
      </c>
    </row>
    <row r="30" spans="2:7" x14ac:dyDescent="0.2">
      <c r="C30" s="3" t="s">
        <v>135</v>
      </c>
      <c r="D30" t="s">
        <v>73</v>
      </c>
    </row>
    <row r="31" spans="2:7" x14ac:dyDescent="0.2">
      <c r="C31" t="s">
        <v>74</v>
      </c>
      <c r="D31" t="s">
        <v>131</v>
      </c>
    </row>
    <row r="32" spans="2:7" x14ac:dyDescent="0.2">
      <c r="C32" t="s">
        <v>75</v>
      </c>
      <c r="D32" t="s">
        <v>130</v>
      </c>
    </row>
    <row r="33" spans="3:4" x14ac:dyDescent="0.2">
      <c r="C33" t="s">
        <v>76</v>
      </c>
      <c r="D33" t="s">
        <v>77</v>
      </c>
    </row>
    <row r="34" spans="3:4" x14ac:dyDescent="0.2">
      <c r="C34" t="s">
        <v>78</v>
      </c>
      <c r="D34" s="26" t="s">
        <v>85</v>
      </c>
    </row>
    <row r="35" spans="3:4" x14ac:dyDescent="0.2">
      <c r="C35" t="s">
        <v>144</v>
      </c>
      <c r="D35" s="26" t="s">
        <v>145</v>
      </c>
    </row>
    <row r="36" spans="3:4" x14ac:dyDescent="0.2">
      <c r="C36" t="s">
        <v>80</v>
      </c>
      <c r="D36" t="s">
        <v>158</v>
      </c>
    </row>
    <row r="37" spans="3:4" x14ac:dyDescent="0.2">
      <c r="C37" t="s">
        <v>79</v>
      </c>
      <c r="D37" t="s">
        <v>84</v>
      </c>
    </row>
    <row r="38" spans="3:4" x14ac:dyDescent="0.2">
      <c r="C38" t="s">
        <v>81</v>
      </c>
      <c r="D38" t="s">
        <v>83</v>
      </c>
    </row>
    <row r="39" spans="3:4" x14ac:dyDescent="0.2">
      <c r="C39" t="s">
        <v>82</v>
      </c>
      <c r="D39" t="s">
        <v>172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zoomScale="65" zoomScaleNormal="65" workbookViewId="0">
      <selection activeCell="E16" sqref="E16"/>
    </sheetView>
  </sheetViews>
  <sheetFormatPr defaultRowHeight="12.75" x14ac:dyDescent="0.2"/>
  <cols>
    <col min="1" max="1" width="24.7109375" customWidth="1"/>
    <col min="2" max="2" width="10.7109375" customWidth="1"/>
    <col min="3" max="3" width="11.5703125" bestFit="1" customWidth="1"/>
    <col min="4" max="4" width="11.5703125" style="9" bestFit="1" customWidth="1"/>
    <col min="5" max="5" width="11.5703125" style="9" customWidth="1"/>
    <col min="6" max="6" width="11.5703125" customWidth="1"/>
    <col min="7" max="7" width="11.28515625" style="9" customWidth="1"/>
    <col min="8" max="8" width="10.7109375" customWidth="1"/>
    <col min="9" max="16" width="10.140625" style="9" bestFit="1" customWidth="1"/>
    <col min="17" max="18" width="10.140625" bestFit="1" customWidth="1"/>
  </cols>
  <sheetData>
    <row r="1" spans="1:19" ht="13.5" thickBot="1" x14ac:dyDescent="0.25">
      <c r="A1" s="52" t="s">
        <v>24</v>
      </c>
      <c r="B1" s="32" t="s">
        <v>174</v>
      </c>
      <c r="C1" s="62" t="s">
        <v>173</v>
      </c>
      <c r="D1" s="96" t="s">
        <v>168</v>
      </c>
      <c r="E1" s="128">
        <v>43922</v>
      </c>
      <c r="F1" s="136">
        <v>43556</v>
      </c>
      <c r="G1" s="136">
        <v>43191</v>
      </c>
      <c r="H1" s="33">
        <v>42826</v>
      </c>
      <c r="I1" s="33">
        <v>42461</v>
      </c>
      <c r="J1" s="33">
        <v>42095</v>
      </c>
      <c r="K1" s="33">
        <v>41730</v>
      </c>
      <c r="L1" s="33">
        <v>41365</v>
      </c>
      <c r="M1" s="33">
        <v>41000</v>
      </c>
      <c r="N1" s="33">
        <v>40634</v>
      </c>
      <c r="O1" s="33">
        <v>40269</v>
      </c>
      <c r="P1" s="33">
        <v>39904</v>
      </c>
      <c r="Q1" s="33">
        <v>39539</v>
      </c>
      <c r="R1" s="34">
        <v>39173</v>
      </c>
    </row>
    <row r="2" spans="1:19" x14ac:dyDescent="0.2">
      <c r="A2" s="53" t="s">
        <v>4</v>
      </c>
      <c r="B2" s="60">
        <f>(E2-F2)/F2</f>
        <v>-0.56939501779359436</v>
      </c>
      <c r="C2" s="145">
        <f>E2-[1]Germany!E2</f>
        <v>-859</v>
      </c>
      <c r="D2" s="84">
        <f>F2-[1]Germany!F2</f>
        <v>-1270</v>
      </c>
      <c r="E2" s="56">
        <v>1331</v>
      </c>
      <c r="F2" s="84">
        <v>3091</v>
      </c>
      <c r="G2" s="84">
        <v>0</v>
      </c>
      <c r="H2" s="84">
        <v>3751</v>
      </c>
      <c r="I2" s="84">
        <v>259</v>
      </c>
      <c r="J2" s="84">
        <v>3230</v>
      </c>
      <c r="K2" s="84">
        <v>182</v>
      </c>
      <c r="L2" s="84">
        <v>18</v>
      </c>
      <c r="M2" s="84">
        <v>60</v>
      </c>
      <c r="N2" s="84">
        <v>186</v>
      </c>
      <c r="O2" s="84">
        <v>306</v>
      </c>
      <c r="P2" s="84">
        <v>1902</v>
      </c>
      <c r="Q2" s="51">
        <v>209</v>
      </c>
      <c r="R2" s="78">
        <v>1629</v>
      </c>
    </row>
    <row r="3" spans="1:19" x14ac:dyDescent="0.2">
      <c r="A3" s="53" t="s">
        <v>11</v>
      </c>
      <c r="B3" s="60">
        <f t="shared" ref="B3:B21" si="0">(E3-F3)/F3</f>
        <v>-0.42983751846381091</v>
      </c>
      <c r="C3" s="145">
        <f>E3-[1]Germany!E3</f>
        <v>-9936</v>
      </c>
      <c r="D3" s="84">
        <f>F3-[1]Germany!F3</f>
        <v>-11705</v>
      </c>
      <c r="E3" s="56">
        <v>6562</v>
      </c>
      <c r="F3" s="84">
        <v>11509</v>
      </c>
      <c r="G3" s="84">
        <v>525</v>
      </c>
      <c r="H3" s="84">
        <v>3981</v>
      </c>
      <c r="I3" s="84">
        <v>8738</v>
      </c>
      <c r="J3" s="84">
        <v>5345</v>
      </c>
      <c r="K3" s="84">
        <v>5483</v>
      </c>
      <c r="L3" s="84">
        <v>2898</v>
      </c>
      <c r="M3" s="84">
        <v>4506</v>
      </c>
      <c r="N3" s="84">
        <v>3385</v>
      </c>
      <c r="O3" s="84">
        <v>3964</v>
      </c>
      <c r="P3" s="84">
        <v>1975</v>
      </c>
      <c r="Q3" s="51">
        <v>3670</v>
      </c>
      <c r="R3" s="78">
        <v>2255</v>
      </c>
    </row>
    <row r="4" spans="1:19" x14ac:dyDescent="0.2">
      <c r="A4" s="53" t="s">
        <v>5</v>
      </c>
      <c r="B4" s="60"/>
      <c r="C4" s="145">
        <f>E4-[1]Germany!E4</f>
        <v>0</v>
      </c>
      <c r="D4" s="84">
        <f>F4-[1]Germany!F4</f>
        <v>-22</v>
      </c>
      <c r="E4" s="56">
        <v>0</v>
      </c>
      <c r="F4" s="84"/>
      <c r="G4" s="84">
        <v>0</v>
      </c>
      <c r="H4" s="84">
        <v>41</v>
      </c>
      <c r="I4" s="84">
        <v>169</v>
      </c>
      <c r="J4" s="84"/>
      <c r="K4" s="84">
        <v>7</v>
      </c>
      <c r="L4" s="84">
        <v>5</v>
      </c>
      <c r="M4" s="84">
        <v>17</v>
      </c>
      <c r="N4" s="84">
        <v>40</v>
      </c>
      <c r="O4" s="84">
        <v>2</v>
      </c>
      <c r="P4" s="84">
        <v>13</v>
      </c>
      <c r="Q4" s="51">
        <v>0</v>
      </c>
      <c r="R4" s="78">
        <v>77</v>
      </c>
    </row>
    <row r="5" spans="1:19" x14ac:dyDescent="0.2">
      <c r="A5" s="53" t="s">
        <v>2</v>
      </c>
      <c r="B5" s="60">
        <f t="shared" si="0"/>
        <v>0.13829961280471179</v>
      </c>
      <c r="C5" s="145">
        <f>E5-[1]Germany!E5</f>
        <v>-13078</v>
      </c>
      <c r="D5" s="84">
        <f>F5-[1]Germany!F5</f>
        <v>-11959</v>
      </c>
      <c r="E5" s="56">
        <v>20873</v>
      </c>
      <c r="F5" s="84">
        <v>18337</v>
      </c>
      <c r="G5" s="84">
        <v>8568</v>
      </c>
      <c r="H5" s="84">
        <v>18507</v>
      </c>
      <c r="I5" s="84">
        <v>16175</v>
      </c>
      <c r="J5" s="84">
        <v>25375</v>
      </c>
      <c r="K5" s="84">
        <v>11359</v>
      </c>
      <c r="L5" s="84">
        <v>11247</v>
      </c>
      <c r="M5" s="84">
        <v>15370</v>
      </c>
      <c r="N5" s="84">
        <v>11696</v>
      </c>
      <c r="O5" s="84">
        <v>18014</v>
      </c>
      <c r="P5" s="84">
        <v>10434</v>
      </c>
      <c r="Q5" s="51">
        <v>14863</v>
      </c>
      <c r="R5" s="78">
        <v>16288</v>
      </c>
    </row>
    <row r="6" spans="1:19" x14ac:dyDescent="0.2">
      <c r="A6" s="53" t="s">
        <v>12</v>
      </c>
      <c r="B6" s="60">
        <f t="shared" si="0"/>
        <v>-0.4730013356229727</v>
      </c>
      <c r="C6" s="145">
        <f>E6-[1]Germany!E6</f>
        <v>-1980</v>
      </c>
      <c r="D6" s="84">
        <f>F6-[1]Germany!F6</f>
        <v>-1993</v>
      </c>
      <c r="E6" s="56">
        <v>2762</v>
      </c>
      <c r="F6" s="84">
        <v>5241</v>
      </c>
      <c r="G6" s="84">
        <v>478</v>
      </c>
      <c r="H6" s="84">
        <v>3503</v>
      </c>
      <c r="I6" s="84">
        <v>2327</v>
      </c>
      <c r="J6" s="84">
        <v>4105</v>
      </c>
      <c r="K6" s="84">
        <v>3118</v>
      </c>
      <c r="L6" s="84">
        <v>98</v>
      </c>
      <c r="M6" s="84">
        <v>1458</v>
      </c>
      <c r="N6" s="84">
        <v>638</v>
      </c>
      <c r="O6" s="84">
        <v>1862</v>
      </c>
      <c r="P6" s="84">
        <v>713</v>
      </c>
      <c r="Q6" s="51">
        <v>1382</v>
      </c>
      <c r="R6" s="78">
        <v>132</v>
      </c>
    </row>
    <row r="7" spans="1:19" x14ac:dyDescent="0.2">
      <c r="A7" s="53" t="s">
        <v>9</v>
      </c>
      <c r="B7" s="60">
        <f t="shared" si="0"/>
        <v>1.8414876331467774E-2</v>
      </c>
      <c r="C7" s="145">
        <f>E7-[1]Germany!E7</f>
        <v>-3702</v>
      </c>
      <c r="D7" s="84">
        <f>F7-[1]Germany!F7</f>
        <v>-5474</v>
      </c>
      <c r="E7" s="56">
        <v>5641</v>
      </c>
      <c r="F7" s="84">
        <v>5539</v>
      </c>
      <c r="G7" s="84">
        <v>2170</v>
      </c>
      <c r="H7" s="84">
        <v>5476</v>
      </c>
      <c r="I7" s="84">
        <v>5443</v>
      </c>
      <c r="J7" s="84">
        <v>2503</v>
      </c>
      <c r="K7" s="84">
        <v>3452</v>
      </c>
      <c r="L7" s="84">
        <v>3284</v>
      </c>
      <c r="M7" s="84">
        <v>1961</v>
      </c>
      <c r="N7" s="84">
        <v>1352</v>
      </c>
      <c r="O7" s="84">
        <v>413</v>
      </c>
      <c r="P7" s="84">
        <v>1946</v>
      </c>
      <c r="Q7" s="51">
        <v>1268</v>
      </c>
      <c r="R7" s="78">
        <v>1065</v>
      </c>
    </row>
    <row r="8" spans="1:19" x14ac:dyDescent="0.2">
      <c r="A8" s="53" t="s">
        <v>14</v>
      </c>
      <c r="B8" s="60">
        <f t="shared" si="0"/>
        <v>-1</v>
      </c>
      <c r="C8" s="145">
        <f>E8-[1]Germany!E8</f>
        <v>0</v>
      </c>
      <c r="D8" s="84">
        <f>F8-[1]Germany!F8</f>
        <v>-22</v>
      </c>
      <c r="E8" s="56"/>
      <c r="F8" s="84">
        <v>265</v>
      </c>
      <c r="G8" s="84">
        <v>0</v>
      </c>
      <c r="H8" s="84">
        <v>366</v>
      </c>
      <c r="I8" s="84">
        <v>586</v>
      </c>
      <c r="J8" s="84">
        <v>659</v>
      </c>
      <c r="K8" s="84">
        <v>985</v>
      </c>
      <c r="L8" s="84">
        <v>1163</v>
      </c>
      <c r="M8" s="84">
        <v>1749</v>
      </c>
      <c r="N8" s="84">
        <v>1788</v>
      </c>
      <c r="O8" s="84">
        <v>3886</v>
      </c>
      <c r="P8" s="84">
        <v>4026</v>
      </c>
      <c r="Q8" s="51">
        <v>1146</v>
      </c>
      <c r="R8" s="78">
        <v>4825</v>
      </c>
    </row>
    <row r="9" spans="1:19" x14ac:dyDescent="0.2">
      <c r="A9" s="53" t="s">
        <v>3</v>
      </c>
      <c r="B9" s="60">
        <f t="shared" si="0"/>
        <v>-0.15689731159100925</v>
      </c>
      <c r="C9" s="145">
        <f>E9-[1]Germany!E9</f>
        <v>-583</v>
      </c>
      <c r="D9" s="84">
        <f>F9-[1]Germany!F9</f>
        <v>-321</v>
      </c>
      <c r="E9" s="56">
        <v>1913</v>
      </c>
      <c r="F9" s="84">
        <v>2269</v>
      </c>
      <c r="G9" s="84">
        <v>742</v>
      </c>
      <c r="H9" s="84">
        <v>6064</v>
      </c>
      <c r="I9" s="84">
        <v>5591</v>
      </c>
      <c r="J9" s="84">
        <v>5281</v>
      </c>
      <c r="K9" s="84">
        <v>6608</v>
      </c>
      <c r="L9" s="84">
        <v>9207</v>
      </c>
      <c r="M9" s="84">
        <v>10589</v>
      </c>
      <c r="N9" s="84">
        <v>7324</v>
      </c>
      <c r="O9" s="84">
        <v>10088</v>
      </c>
      <c r="P9" s="84">
        <v>13179</v>
      </c>
      <c r="Q9" s="51">
        <v>9074</v>
      </c>
      <c r="R9" s="78">
        <v>8118</v>
      </c>
    </row>
    <row r="10" spans="1:19" x14ac:dyDescent="0.2">
      <c r="A10" s="53" t="s">
        <v>15</v>
      </c>
      <c r="B10" s="60"/>
      <c r="C10" s="145">
        <f>E10-[1]Germany!E10</f>
        <v>0</v>
      </c>
      <c r="D10" s="84">
        <f>F10-[1]Germany!F10</f>
        <v>-50</v>
      </c>
      <c r="E10" s="56"/>
      <c r="F10" s="84"/>
      <c r="G10" s="84">
        <v>0</v>
      </c>
      <c r="H10" s="84"/>
      <c r="I10" s="84">
        <v>97</v>
      </c>
      <c r="J10" s="84">
        <v>138</v>
      </c>
      <c r="K10" s="84">
        <v>0</v>
      </c>
      <c r="L10" s="84">
        <v>0</v>
      </c>
      <c r="M10" s="84">
        <v>27</v>
      </c>
      <c r="N10" s="84">
        <v>64</v>
      </c>
      <c r="O10" s="84">
        <v>0</v>
      </c>
      <c r="P10" s="84">
        <v>0</v>
      </c>
      <c r="Q10" s="51">
        <v>0</v>
      </c>
      <c r="R10" s="78">
        <v>51</v>
      </c>
    </row>
    <row r="11" spans="1:19" x14ac:dyDescent="0.2">
      <c r="A11" s="53" t="s">
        <v>10</v>
      </c>
      <c r="B11" s="60">
        <f t="shared" si="0"/>
        <v>-0.66509940891993546</v>
      </c>
      <c r="C11" s="145">
        <f>E11-[1]Germany!E11</f>
        <v>-789</v>
      </c>
      <c r="D11" s="84">
        <f>F11-[1]Germany!F11</f>
        <v>-743</v>
      </c>
      <c r="E11" s="56">
        <v>2493</v>
      </c>
      <c r="F11" s="84">
        <v>7444</v>
      </c>
      <c r="G11" s="84">
        <v>6441</v>
      </c>
      <c r="H11" s="84">
        <v>8653</v>
      </c>
      <c r="I11" s="84">
        <v>14004</v>
      </c>
      <c r="J11" s="84">
        <v>6770</v>
      </c>
      <c r="K11" s="84">
        <v>17169</v>
      </c>
      <c r="L11" s="84">
        <v>18749</v>
      </c>
      <c r="M11" s="84">
        <v>16110</v>
      </c>
      <c r="N11" s="84">
        <v>14018</v>
      </c>
      <c r="O11" s="84">
        <v>19092</v>
      </c>
      <c r="P11" s="84">
        <v>16606</v>
      </c>
      <c r="Q11" s="51">
        <v>9252</v>
      </c>
      <c r="R11" s="78">
        <v>14721</v>
      </c>
      <c r="S11" s="1"/>
    </row>
    <row r="12" spans="1:19" x14ac:dyDescent="0.2">
      <c r="A12" s="53" t="s">
        <v>99</v>
      </c>
      <c r="B12" s="60"/>
      <c r="C12" s="145">
        <f>E12-[1]Germany!E12</f>
        <v>0</v>
      </c>
      <c r="D12" s="84">
        <f>F12-[1]Germany!F12</f>
        <v>0</v>
      </c>
      <c r="E12" s="56"/>
      <c r="F12" s="84"/>
      <c r="G12" s="84">
        <v>0</v>
      </c>
      <c r="H12" s="84"/>
      <c r="I12" s="84"/>
      <c r="J12" s="84"/>
      <c r="K12" s="84"/>
      <c r="L12" s="84">
        <v>0</v>
      </c>
      <c r="M12" s="84">
        <v>0</v>
      </c>
      <c r="N12" s="84">
        <v>0</v>
      </c>
      <c r="O12" s="84">
        <v>3</v>
      </c>
      <c r="P12" s="84">
        <v>0</v>
      </c>
      <c r="Q12" s="51">
        <v>0</v>
      </c>
      <c r="R12" s="78">
        <v>0</v>
      </c>
      <c r="S12" s="1"/>
    </row>
    <row r="13" spans="1:19" x14ac:dyDescent="0.2">
      <c r="A13" s="53" t="s">
        <v>27</v>
      </c>
      <c r="B13" s="60">
        <f t="shared" si="0"/>
        <v>-0.58663558663558668</v>
      </c>
      <c r="C13" s="145">
        <f>E13-[1]Germany!E13</f>
        <v>-1611</v>
      </c>
      <c r="D13" s="84">
        <f>F13-[1]Germany!F13</f>
        <v>-3823</v>
      </c>
      <c r="E13" s="56">
        <v>8512</v>
      </c>
      <c r="F13" s="84">
        <v>20592</v>
      </c>
      <c r="G13" s="84">
        <v>5583</v>
      </c>
      <c r="H13" s="84">
        <v>21323</v>
      </c>
      <c r="I13" s="84">
        <v>19529</v>
      </c>
      <c r="J13" s="84">
        <v>25472</v>
      </c>
      <c r="K13" s="84">
        <v>20791</v>
      </c>
      <c r="L13" s="84">
        <v>26912</v>
      </c>
      <c r="M13" s="84">
        <v>33538</v>
      </c>
      <c r="N13" s="84">
        <v>23340</v>
      </c>
      <c r="O13" s="84">
        <v>33376</v>
      </c>
      <c r="P13" s="84">
        <v>33010</v>
      </c>
      <c r="Q13" s="51">
        <v>28894</v>
      </c>
      <c r="R13" s="78">
        <v>30072</v>
      </c>
      <c r="S13" s="1"/>
    </row>
    <row r="14" spans="1:19" x14ac:dyDescent="0.2">
      <c r="A14" s="53" t="s">
        <v>26</v>
      </c>
      <c r="B14" s="60">
        <f t="shared" si="0"/>
        <v>-0.48960106152825456</v>
      </c>
      <c r="C14" s="145">
        <f>E14-[1]Germany!E14</f>
        <v>-5537</v>
      </c>
      <c r="D14" s="84">
        <f>F14-[1]Germany!F14</f>
        <v>-8867</v>
      </c>
      <c r="E14" s="56">
        <v>17694</v>
      </c>
      <c r="F14" s="84">
        <v>34667</v>
      </c>
      <c r="G14" s="84">
        <v>13884</v>
      </c>
      <c r="H14" s="84">
        <v>40962</v>
      </c>
      <c r="I14" s="84">
        <v>41125</v>
      </c>
      <c r="J14" s="84">
        <v>47349</v>
      </c>
      <c r="K14" s="84">
        <v>33906</v>
      </c>
      <c r="L14" s="84">
        <v>46297</v>
      </c>
      <c r="M14" s="84">
        <v>46940</v>
      </c>
      <c r="N14" s="84">
        <v>34356</v>
      </c>
      <c r="O14" s="84">
        <v>44835</v>
      </c>
      <c r="P14" s="84">
        <v>37635</v>
      </c>
      <c r="Q14" s="51">
        <v>32179</v>
      </c>
      <c r="R14" s="78">
        <v>35163</v>
      </c>
    </row>
    <row r="15" spans="1:19" x14ac:dyDescent="0.2">
      <c r="A15" s="53" t="s">
        <v>13</v>
      </c>
      <c r="B15" s="60">
        <f t="shared" si="0"/>
        <v>-0.16655443322109989</v>
      </c>
      <c r="C15" s="145">
        <f>E15-[1]Germany!E15</f>
        <v>-1560</v>
      </c>
      <c r="D15" s="84">
        <f>F15-[1]Germany!F15</f>
        <v>-2036</v>
      </c>
      <c r="E15" s="56">
        <v>3713</v>
      </c>
      <c r="F15" s="84">
        <v>4455</v>
      </c>
      <c r="G15" s="84">
        <v>2521</v>
      </c>
      <c r="H15" s="84">
        <v>7170</v>
      </c>
      <c r="I15" s="84">
        <v>8912</v>
      </c>
      <c r="J15" s="84">
        <v>8788</v>
      </c>
      <c r="K15" s="84">
        <v>5968</v>
      </c>
      <c r="L15" s="84">
        <v>5992</v>
      </c>
      <c r="M15" s="84">
        <v>4526</v>
      </c>
      <c r="N15" s="84">
        <v>3452</v>
      </c>
      <c r="O15" s="84">
        <v>4262</v>
      </c>
      <c r="P15" s="84">
        <v>3464</v>
      </c>
      <c r="Q15" s="51">
        <v>1207</v>
      </c>
      <c r="R15" s="78">
        <v>2077</v>
      </c>
    </row>
    <row r="16" spans="1:19" x14ac:dyDescent="0.2">
      <c r="A16" s="53" t="s">
        <v>133</v>
      </c>
      <c r="B16" s="60">
        <f t="shared" si="0"/>
        <v>-0.32505616413845206</v>
      </c>
      <c r="C16" s="145">
        <f>E16-[1]Germany!E16</f>
        <v>-9308</v>
      </c>
      <c r="D16" s="84">
        <f>F16-[1]Germany!F16</f>
        <v>-6366</v>
      </c>
      <c r="E16" s="56">
        <v>33949</v>
      </c>
      <c r="F16" s="84">
        <v>50299</v>
      </c>
      <c r="G16" s="84">
        <v>28232</v>
      </c>
      <c r="H16" s="84">
        <v>44254</v>
      </c>
      <c r="I16" s="84">
        <v>28200</v>
      </c>
      <c r="J16" s="84">
        <v>24718</v>
      </c>
      <c r="K16" s="84">
        <v>12045</v>
      </c>
      <c r="L16" s="84">
        <v>16692</v>
      </c>
      <c r="M16" s="84">
        <v>12671</v>
      </c>
      <c r="N16" s="84">
        <v>7452</v>
      </c>
      <c r="O16" s="84">
        <v>10952</v>
      </c>
      <c r="P16" s="84">
        <v>7842</v>
      </c>
      <c r="Q16" s="51">
        <v>6815</v>
      </c>
      <c r="R16" s="78">
        <v>1779</v>
      </c>
    </row>
    <row r="17" spans="1:20" s="16" customFormat="1" x14ac:dyDescent="0.2">
      <c r="A17" s="53" t="s">
        <v>89</v>
      </c>
      <c r="B17" s="60">
        <f t="shared" si="0"/>
        <v>-0.10714285714285714</v>
      </c>
      <c r="C17" s="145">
        <f>E17-[1]Germany!E17</f>
        <v>-23</v>
      </c>
      <c r="D17" s="84">
        <f>F17-[1]Germany!F17</f>
        <v>-135</v>
      </c>
      <c r="E17" s="56">
        <v>50</v>
      </c>
      <c r="F17" s="84">
        <v>56</v>
      </c>
      <c r="G17" s="84">
        <v>7</v>
      </c>
      <c r="H17" s="84">
        <v>356</v>
      </c>
      <c r="I17" s="84">
        <v>697</v>
      </c>
      <c r="J17" s="84">
        <v>269</v>
      </c>
      <c r="K17" s="84">
        <v>18</v>
      </c>
      <c r="L17" s="84">
        <v>935</v>
      </c>
      <c r="M17" s="84">
        <v>854</v>
      </c>
      <c r="N17" s="84">
        <v>130</v>
      </c>
      <c r="O17" s="84">
        <v>34</v>
      </c>
      <c r="P17" s="84">
        <v>90</v>
      </c>
      <c r="Q17" s="51">
        <v>45</v>
      </c>
      <c r="R17" s="78">
        <v>16</v>
      </c>
      <c r="T17"/>
    </row>
    <row r="18" spans="1:20" x14ac:dyDescent="0.2">
      <c r="A18" s="53" t="s">
        <v>96</v>
      </c>
      <c r="B18" s="60">
        <f t="shared" si="0"/>
        <v>-0.78181818181818186</v>
      </c>
      <c r="C18" s="145">
        <f>E18-[1]Germany!E18</f>
        <v>-455</v>
      </c>
      <c r="D18" s="84">
        <f>F18-[1]Germany!F18</f>
        <v>-610</v>
      </c>
      <c r="E18" s="56">
        <v>264</v>
      </c>
      <c r="F18" s="84">
        <v>1210</v>
      </c>
      <c r="G18" s="84">
        <v>68</v>
      </c>
      <c r="H18" s="84">
        <v>238</v>
      </c>
      <c r="I18" s="84">
        <v>432</v>
      </c>
      <c r="J18" s="84">
        <v>269</v>
      </c>
      <c r="K18" s="84">
        <v>539</v>
      </c>
      <c r="L18" s="84">
        <v>384</v>
      </c>
      <c r="M18" s="84">
        <v>550</v>
      </c>
      <c r="N18" s="84">
        <v>1003</v>
      </c>
      <c r="O18" s="84">
        <v>946</v>
      </c>
      <c r="P18" s="84">
        <v>951</v>
      </c>
      <c r="Q18" s="51">
        <v>382</v>
      </c>
      <c r="R18" s="78">
        <v>777</v>
      </c>
    </row>
    <row r="19" spans="1:20" x14ac:dyDescent="0.2">
      <c r="A19" s="53" t="s">
        <v>142</v>
      </c>
      <c r="B19" s="60">
        <f t="shared" si="0"/>
        <v>-0.3701085469305847</v>
      </c>
      <c r="C19" s="145">
        <f>E19-[1]Germany!E19</f>
        <v>-515</v>
      </c>
      <c r="D19" s="84">
        <f>F19-[1]Germany!F19</f>
        <v>-7031</v>
      </c>
      <c r="E19" s="56">
        <v>13811</v>
      </c>
      <c r="F19" s="84">
        <v>21926</v>
      </c>
      <c r="G19" s="84">
        <v>5435</v>
      </c>
      <c r="H19" s="84">
        <v>12376</v>
      </c>
      <c r="I19" s="84">
        <v>12240</v>
      </c>
      <c r="J19" s="84">
        <v>12692</v>
      </c>
      <c r="K19" s="84">
        <v>8112</v>
      </c>
      <c r="L19" s="84">
        <v>5969</v>
      </c>
      <c r="M19" s="84">
        <v>4445</v>
      </c>
      <c r="N19" s="84">
        <v>2591</v>
      </c>
      <c r="O19" s="84">
        <v>3153</v>
      </c>
      <c r="P19" s="84">
        <v>1188</v>
      </c>
      <c r="Q19" s="51">
        <v>1390</v>
      </c>
      <c r="R19" s="78">
        <v>302</v>
      </c>
    </row>
    <row r="20" spans="1:20" ht="13.5" thickBot="1" x14ac:dyDescent="0.25">
      <c r="A20" s="53" t="s">
        <v>6</v>
      </c>
      <c r="B20" s="60">
        <f t="shared" si="0"/>
        <v>-0.10431829209121786</v>
      </c>
      <c r="C20" s="145">
        <f>E20-[1]Germany!E20</f>
        <v>-693</v>
      </c>
      <c r="D20" s="84">
        <f>F20-[1]Germany!F20</f>
        <v>-641</v>
      </c>
      <c r="E20" s="56">
        <v>1846</v>
      </c>
      <c r="F20" s="84">
        <v>2061</v>
      </c>
      <c r="G20" s="84">
        <v>254</v>
      </c>
      <c r="H20" s="84">
        <v>1847</v>
      </c>
      <c r="I20" s="84">
        <v>1792</v>
      </c>
      <c r="J20" s="84">
        <v>3084</v>
      </c>
      <c r="K20" s="84">
        <v>2808</v>
      </c>
      <c r="L20" s="84">
        <v>3300</v>
      </c>
      <c r="M20" s="84">
        <v>2524</v>
      </c>
      <c r="N20" s="84">
        <v>1893</v>
      </c>
      <c r="O20" s="84">
        <v>2606</v>
      </c>
      <c r="P20" s="84">
        <v>2548</v>
      </c>
      <c r="Q20" s="51">
        <v>1852</v>
      </c>
      <c r="R20" s="78">
        <v>2014</v>
      </c>
    </row>
    <row r="21" spans="1:20" ht="13.5" thickBot="1" x14ac:dyDescent="0.25">
      <c r="A21" s="52" t="s">
        <v>92</v>
      </c>
      <c r="B21" s="172">
        <f t="shared" si="0"/>
        <v>-0.35746529707188257</v>
      </c>
      <c r="C21" s="171">
        <f>E21-[1]Germany!E21</f>
        <v>-50629</v>
      </c>
      <c r="D21" s="106">
        <f>G21-[1]Germany!F21</f>
        <v>-177121</v>
      </c>
      <c r="E21" s="58">
        <f>SUM(E2:E20)</f>
        <v>121414</v>
      </c>
      <c r="F21" s="106">
        <f>SUM(F2:F20)</f>
        <v>188961</v>
      </c>
      <c r="G21" s="106">
        <f t="shared" ref="G21:L21" si="1">SUM(G2:G20)</f>
        <v>74908</v>
      </c>
      <c r="H21" s="106">
        <f t="shared" si="1"/>
        <v>178868</v>
      </c>
      <c r="I21" s="106">
        <f t="shared" si="1"/>
        <v>166316</v>
      </c>
      <c r="J21" s="106">
        <f t="shared" si="1"/>
        <v>176047</v>
      </c>
      <c r="K21" s="106">
        <f t="shared" si="1"/>
        <v>132550</v>
      </c>
      <c r="L21" s="106">
        <f t="shared" si="1"/>
        <v>153150</v>
      </c>
      <c r="M21" s="106">
        <f t="shared" ref="M21:R21" si="2">SUM(M2:M20)</f>
        <v>157895</v>
      </c>
      <c r="N21" s="106">
        <f t="shared" si="2"/>
        <v>114708</v>
      </c>
      <c r="O21" s="106">
        <f t="shared" si="2"/>
        <v>157794</v>
      </c>
      <c r="P21" s="106">
        <f t="shared" si="2"/>
        <v>137522</v>
      </c>
      <c r="Q21" s="59">
        <f t="shared" si="2"/>
        <v>113628</v>
      </c>
      <c r="R21" s="152">
        <f t="shared" si="2"/>
        <v>121361</v>
      </c>
    </row>
    <row r="22" spans="1:20" x14ac:dyDescent="0.2">
      <c r="F22" s="9"/>
      <c r="H22" s="9"/>
    </row>
    <row r="23" spans="1:20" ht="13.5" thickBot="1" x14ac:dyDescent="0.25">
      <c r="B23" s="3"/>
      <c r="C23" s="3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3"/>
      <c r="R23" s="3"/>
    </row>
    <row r="24" spans="1:20" s="65" customFormat="1" ht="13.5" thickBot="1" x14ac:dyDescent="0.25">
      <c r="A24" s="64" t="s">
        <v>25</v>
      </c>
      <c r="B24" s="32" t="s">
        <v>174</v>
      </c>
      <c r="C24" s="62" t="s">
        <v>173</v>
      </c>
      <c r="D24" s="96" t="s">
        <v>168</v>
      </c>
      <c r="E24" s="128">
        <v>43922</v>
      </c>
      <c r="F24" s="136">
        <v>43556</v>
      </c>
      <c r="G24" s="136">
        <v>43191</v>
      </c>
      <c r="H24" s="33">
        <v>42826</v>
      </c>
      <c r="I24" s="33">
        <v>42461</v>
      </c>
      <c r="J24" s="33">
        <v>42125</v>
      </c>
      <c r="K24" s="33">
        <v>41730</v>
      </c>
      <c r="L24" s="33">
        <v>41365</v>
      </c>
      <c r="M24" s="33">
        <v>41000</v>
      </c>
      <c r="N24" s="33">
        <v>40634</v>
      </c>
      <c r="O24" s="33">
        <v>40269</v>
      </c>
      <c r="P24" s="33">
        <v>39904</v>
      </c>
      <c r="Q24" s="33">
        <v>39539</v>
      </c>
      <c r="R24" s="34">
        <v>39173</v>
      </c>
    </row>
    <row r="25" spans="1:20" s="63" customFormat="1" ht="13.5" thickBot="1" x14ac:dyDescent="0.25">
      <c r="A25" s="70" t="s">
        <v>6</v>
      </c>
      <c r="B25" s="110">
        <f>(E25-F25)/F25</f>
        <v>-0.52009744214372711</v>
      </c>
      <c r="C25" s="147">
        <f>E25-[1]Germany!E25</f>
        <v>-746</v>
      </c>
      <c r="D25" s="90">
        <f>G25-[1]Germany!F25</f>
        <v>-804</v>
      </c>
      <c r="E25" s="72">
        <v>394</v>
      </c>
      <c r="F25" s="90">
        <v>821</v>
      </c>
      <c r="G25" s="90">
        <v>393</v>
      </c>
      <c r="H25" s="90">
        <v>53</v>
      </c>
      <c r="I25" s="90">
        <v>119</v>
      </c>
      <c r="J25" s="90">
        <v>585</v>
      </c>
      <c r="K25" s="90">
        <v>360</v>
      </c>
      <c r="L25" s="90">
        <v>66</v>
      </c>
      <c r="M25" s="90">
        <v>361</v>
      </c>
      <c r="N25" s="90">
        <v>9</v>
      </c>
      <c r="O25" s="90">
        <v>147</v>
      </c>
      <c r="P25" s="90">
        <v>111</v>
      </c>
      <c r="Q25" s="73">
        <v>184</v>
      </c>
      <c r="R25" s="80">
        <v>84</v>
      </c>
    </row>
    <row r="26" spans="1:20" s="63" customFormat="1" ht="13.5" thickBot="1" x14ac:dyDescent="0.25">
      <c r="A26" s="74" t="s">
        <v>92</v>
      </c>
      <c r="B26" s="75">
        <f>(F26-G26)/G26</f>
        <v>1.089058524173028</v>
      </c>
      <c r="C26" s="171">
        <f>E26-[1]Germany!E26</f>
        <v>-746</v>
      </c>
      <c r="D26" s="102">
        <f>G26-[1]Germany!F26</f>
        <v>-804</v>
      </c>
      <c r="E26" s="76">
        <f>SUM(E25)</f>
        <v>394</v>
      </c>
      <c r="F26" s="102">
        <v>821</v>
      </c>
      <c r="G26" s="102">
        <v>393</v>
      </c>
      <c r="H26" s="102">
        <f>SUM(H25)</f>
        <v>53</v>
      </c>
      <c r="I26" s="102">
        <f>SUM(I25)</f>
        <v>119</v>
      </c>
      <c r="J26" s="102">
        <f>SUM(J25)</f>
        <v>585</v>
      </c>
      <c r="K26" s="102">
        <f>SUM(K25)</f>
        <v>360</v>
      </c>
      <c r="L26" s="102">
        <f>SUM(L25)</f>
        <v>66</v>
      </c>
      <c r="M26" s="102">
        <f t="shared" ref="M26:R26" si="3">SUM(M25)</f>
        <v>361</v>
      </c>
      <c r="N26" s="102">
        <f t="shared" si="3"/>
        <v>9</v>
      </c>
      <c r="O26" s="102">
        <f t="shared" si="3"/>
        <v>147</v>
      </c>
      <c r="P26" s="102">
        <f t="shared" si="3"/>
        <v>111</v>
      </c>
      <c r="Q26" s="77">
        <f t="shared" si="3"/>
        <v>184</v>
      </c>
      <c r="R26" s="81">
        <f t="shared" si="3"/>
        <v>84</v>
      </c>
    </row>
    <row r="27" spans="1:20" s="63" customFormat="1" x14ac:dyDescent="0.2">
      <c r="D27" s="108"/>
      <c r="E27" s="108"/>
      <c r="G27" s="108"/>
      <c r="I27" s="108"/>
      <c r="J27" s="108"/>
      <c r="K27" s="108"/>
      <c r="L27" s="108"/>
      <c r="M27" s="108"/>
      <c r="N27" s="108"/>
      <c r="O27" s="108"/>
      <c r="P27" s="108"/>
    </row>
    <row r="28" spans="1:20" s="63" customFormat="1" x14ac:dyDescent="0.2">
      <c r="A28" s="65"/>
      <c r="D28" s="108"/>
      <c r="E28" s="108"/>
      <c r="G28" s="108"/>
      <c r="I28" s="108"/>
      <c r="J28" s="108"/>
      <c r="K28" s="108"/>
      <c r="L28" s="108"/>
      <c r="M28" s="108"/>
      <c r="N28" s="108"/>
      <c r="O28" s="108"/>
      <c r="P28" s="108"/>
    </row>
    <row r="29" spans="1:20" s="63" customFormat="1" x14ac:dyDescent="0.2">
      <c r="D29" s="108"/>
      <c r="E29" s="108"/>
      <c r="G29" s="108"/>
      <c r="I29" s="108"/>
      <c r="J29" s="108"/>
      <c r="K29" s="108"/>
      <c r="L29" s="108"/>
      <c r="M29" s="108"/>
      <c r="N29" s="108"/>
      <c r="O29" s="108"/>
      <c r="P29" s="108"/>
    </row>
  </sheetData>
  <pageMargins left="0.75" right="0.75" top="1" bottom="1" header="0.5" footer="0.5"/>
  <pageSetup paperSize="9" scale="66" fitToHeight="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zoomScale="65" zoomScaleNormal="65" workbookViewId="0">
      <selection activeCell="G25" sqref="G25"/>
    </sheetView>
  </sheetViews>
  <sheetFormatPr defaultRowHeight="12.75" x14ac:dyDescent="0.2"/>
  <cols>
    <col min="1" max="1" width="29.28515625" customWidth="1"/>
    <col min="2" max="2" width="10.7109375" customWidth="1"/>
    <col min="3" max="3" width="11.5703125" bestFit="1" customWidth="1"/>
    <col min="4" max="4" width="11.5703125" style="9" bestFit="1" customWidth="1"/>
    <col min="5" max="6" width="11.5703125" style="9" customWidth="1"/>
    <col min="7" max="7" width="11.42578125" style="9" customWidth="1"/>
    <col min="8" max="8" width="10.7109375" customWidth="1"/>
    <col min="9" max="16" width="10.140625" style="12" bestFit="1" customWidth="1"/>
    <col min="17" max="18" width="10.140625" bestFit="1" customWidth="1"/>
  </cols>
  <sheetData>
    <row r="1" spans="1:18" s="16" customFormat="1" ht="13.5" thickBot="1" x14ac:dyDescent="0.25">
      <c r="A1" s="31" t="s">
        <v>24</v>
      </c>
      <c r="B1" s="32" t="s">
        <v>174</v>
      </c>
      <c r="C1" s="62" t="s">
        <v>173</v>
      </c>
      <c r="D1" s="96" t="s">
        <v>168</v>
      </c>
      <c r="E1" s="128">
        <v>43922</v>
      </c>
      <c r="F1" s="136">
        <v>43556</v>
      </c>
      <c r="G1" s="136">
        <v>43191</v>
      </c>
      <c r="H1" s="33">
        <v>42826</v>
      </c>
      <c r="I1" s="33">
        <v>42461</v>
      </c>
      <c r="J1" s="33">
        <v>42095</v>
      </c>
      <c r="K1" s="33">
        <v>41730</v>
      </c>
      <c r="L1" s="33">
        <v>41365</v>
      </c>
      <c r="M1" s="33">
        <v>41000</v>
      </c>
      <c r="N1" s="33">
        <v>40634</v>
      </c>
      <c r="O1" s="33">
        <v>40269</v>
      </c>
      <c r="P1" s="33">
        <v>39904</v>
      </c>
      <c r="Q1" s="33">
        <v>39539</v>
      </c>
      <c r="R1" s="34">
        <v>39173</v>
      </c>
    </row>
    <row r="2" spans="1:18" x14ac:dyDescent="0.2">
      <c r="A2" s="27" t="s">
        <v>20</v>
      </c>
      <c r="B2" s="35"/>
      <c r="C2" s="144">
        <f>E2-[1]Italy!E2</f>
        <v>0</v>
      </c>
      <c r="D2" s="13">
        <f>F2-[1]Italy!F2</f>
        <v>0</v>
      </c>
      <c r="E2" s="125"/>
      <c r="F2" s="13">
        <v>0</v>
      </c>
      <c r="G2" s="13">
        <v>0</v>
      </c>
      <c r="H2" s="13">
        <v>0</v>
      </c>
      <c r="I2" s="13">
        <v>0</v>
      </c>
      <c r="J2" s="13">
        <v>0</v>
      </c>
      <c r="K2" s="13"/>
      <c r="L2" s="13"/>
      <c r="M2" s="13">
        <v>761.6917738204121</v>
      </c>
      <c r="N2" s="13">
        <v>0</v>
      </c>
      <c r="O2" s="13">
        <v>0</v>
      </c>
      <c r="P2" s="13">
        <v>0</v>
      </c>
      <c r="Q2" s="13">
        <v>0</v>
      </c>
      <c r="R2" s="37">
        <v>0</v>
      </c>
    </row>
    <row r="3" spans="1:18" x14ac:dyDescent="0.2">
      <c r="A3" s="27" t="s">
        <v>11</v>
      </c>
      <c r="B3" s="35">
        <f t="shared" ref="B3:B20" si="0">(E3-F3)/F3</f>
        <v>-0.25445608410279813</v>
      </c>
      <c r="C3" s="144">
        <f>E3-[1]Italy!E3</f>
        <v>-6078.619999999999</v>
      </c>
      <c r="D3" s="13">
        <f>F3-[1]Italy!F3</f>
        <v>-4653.0600000000049</v>
      </c>
      <c r="E3" s="125">
        <v>28090.38</v>
      </c>
      <c r="F3" s="13">
        <v>37677.699999999997</v>
      </c>
      <c r="G3" s="13">
        <v>18656</v>
      </c>
      <c r="H3" s="13">
        <v>34255.1</v>
      </c>
      <c r="I3" s="13">
        <v>30762.1</v>
      </c>
      <c r="J3" s="13">
        <v>30965</v>
      </c>
      <c r="K3" s="13">
        <v>34303</v>
      </c>
      <c r="L3" s="13">
        <v>25751</v>
      </c>
      <c r="M3" s="13">
        <v>36955.079968526392</v>
      </c>
      <c r="N3" s="13">
        <v>35386.915490338557</v>
      </c>
      <c r="O3" s="13">
        <v>36715.03</v>
      </c>
      <c r="P3" s="13">
        <v>29265.77</v>
      </c>
      <c r="Q3" s="13">
        <v>26328</v>
      </c>
      <c r="R3" s="37">
        <v>20858</v>
      </c>
    </row>
    <row r="4" spans="1:18" x14ac:dyDescent="0.2">
      <c r="A4" s="53" t="s">
        <v>61</v>
      </c>
      <c r="B4" s="35">
        <f>(E4-F4)/F4</f>
        <v>-0.24944008587558647</v>
      </c>
      <c r="C4" s="144">
        <f>E4-[1]Italy!E4</f>
        <v>-15253.7</v>
      </c>
      <c r="D4" s="13">
        <f>F4-[1]Italy!F4</f>
        <v>-18384.63</v>
      </c>
      <c r="E4" s="125">
        <v>22654.3</v>
      </c>
      <c r="F4" s="13">
        <v>30183.200000000001</v>
      </c>
      <c r="G4" s="13">
        <v>19609</v>
      </c>
      <c r="H4" s="13">
        <v>31233.9</v>
      </c>
      <c r="I4" s="13">
        <v>23110.300000000003</v>
      </c>
      <c r="J4" s="13">
        <v>42691</v>
      </c>
      <c r="K4" s="13">
        <v>16692</v>
      </c>
      <c r="L4" s="13">
        <v>8234</v>
      </c>
      <c r="M4" s="13">
        <v>26093.956609458222</v>
      </c>
      <c r="N4" s="13">
        <v>10925.109201359593</v>
      </c>
      <c r="O4" s="13"/>
      <c r="P4" s="13"/>
      <c r="Q4" s="13"/>
      <c r="R4" s="37"/>
    </row>
    <row r="5" spans="1:18" x14ac:dyDescent="0.2">
      <c r="A5" s="27" t="s">
        <v>2</v>
      </c>
      <c r="B5" s="35"/>
      <c r="C5" s="144">
        <f>E5-[1]Italy!E5</f>
        <v>0</v>
      </c>
      <c r="D5" s="13">
        <f>F5-[1]Italy!F5</f>
        <v>0</v>
      </c>
      <c r="E5" s="125"/>
      <c r="F5" s="13">
        <v>0</v>
      </c>
      <c r="G5" s="13">
        <v>0</v>
      </c>
      <c r="H5" s="13">
        <v>0</v>
      </c>
      <c r="I5" s="13">
        <v>2</v>
      </c>
      <c r="J5" s="13">
        <v>0</v>
      </c>
      <c r="K5" s="13">
        <v>2</v>
      </c>
      <c r="L5" s="13"/>
      <c r="M5" s="13">
        <v>0</v>
      </c>
      <c r="N5" s="13">
        <v>0</v>
      </c>
      <c r="O5" s="13">
        <v>31.8</v>
      </c>
      <c r="P5" s="13">
        <v>0</v>
      </c>
      <c r="Q5" s="13">
        <v>9</v>
      </c>
      <c r="R5" s="37"/>
    </row>
    <row r="6" spans="1:18" x14ac:dyDescent="0.2">
      <c r="A6" s="27" t="s">
        <v>12</v>
      </c>
      <c r="B6" s="35">
        <f t="shared" si="0"/>
        <v>-0.31702072357278505</v>
      </c>
      <c r="C6" s="144">
        <f>E6-[1]Italy!E6</f>
        <v>-20042.047880390455</v>
      </c>
      <c r="D6" s="13">
        <f>F6-[1]Italy!F6</f>
        <v>-19383.340000000004</v>
      </c>
      <c r="E6" s="125">
        <v>39141.952119609545</v>
      </c>
      <c r="F6" s="13">
        <v>57310.6</v>
      </c>
      <c r="G6" s="13">
        <v>35418</v>
      </c>
      <c r="H6" s="13">
        <v>41091.009999999995</v>
      </c>
      <c r="I6" s="13">
        <v>63315.343000000008</v>
      </c>
      <c r="J6" s="13">
        <v>50893</v>
      </c>
      <c r="K6" s="13">
        <v>57789</v>
      </c>
      <c r="L6" s="13">
        <v>28000</v>
      </c>
      <c r="M6" s="13">
        <v>40519.997915209555</v>
      </c>
      <c r="N6" s="13">
        <v>51166.848137447007</v>
      </c>
      <c r="O6" s="13">
        <v>37282.980000000003</v>
      </c>
      <c r="P6" s="13">
        <v>34837.64</v>
      </c>
      <c r="Q6" s="13">
        <v>35448.199999999997</v>
      </c>
      <c r="R6" s="37">
        <v>23704</v>
      </c>
    </row>
    <row r="7" spans="1:18" x14ac:dyDescent="0.2">
      <c r="A7" s="27" t="s">
        <v>9</v>
      </c>
      <c r="B7" s="35">
        <f t="shared" si="0"/>
        <v>0.40454726210633685</v>
      </c>
      <c r="C7" s="144">
        <f>E7-[1]Italy!E7</f>
        <v>-31176.896847650816</v>
      </c>
      <c r="D7" s="13">
        <f>F7-[1]Italy!F7</f>
        <v>-30820.149999999998</v>
      </c>
      <c r="E7" s="125">
        <v>15871.103152349184</v>
      </c>
      <c r="F7" s="13">
        <v>11299.8</v>
      </c>
      <c r="G7" s="13">
        <v>524</v>
      </c>
      <c r="H7" s="13">
        <v>10541.91</v>
      </c>
      <c r="I7" s="13">
        <v>1456.6</v>
      </c>
      <c r="J7" s="13">
        <v>11691</v>
      </c>
      <c r="K7" s="13">
        <v>7492</v>
      </c>
      <c r="L7" s="13">
        <v>1703</v>
      </c>
      <c r="M7" s="13">
        <v>3639.0826720288374</v>
      </c>
      <c r="N7" s="13">
        <v>5818.360867274374</v>
      </c>
      <c r="O7" s="13">
        <v>3036.05</v>
      </c>
      <c r="P7" s="13">
        <v>3855.24</v>
      </c>
      <c r="Q7" s="13">
        <v>1352</v>
      </c>
      <c r="R7" s="37">
        <v>532</v>
      </c>
    </row>
    <row r="8" spans="1:18" x14ac:dyDescent="0.2">
      <c r="A8" s="27" t="s">
        <v>14</v>
      </c>
      <c r="B8" s="35">
        <f t="shared" si="0"/>
        <v>-1</v>
      </c>
      <c r="C8" s="144">
        <f>E8-[1]Italy!E8</f>
        <v>0</v>
      </c>
      <c r="D8" s="13">
        <f>F8-[1]Italy!F8</f>
        <v>0</v>
      </c>
      <c r="E8" s="125"/>
      <c r="F8" s="13">
        <v>5</v>
      </c>
      <c r="G8" s="13">
        <v>0</v>
      </c>
      <c r="H8" s="13">
        <v>0</v>
      </c>
      <c r="I8" s="13">
        <v>4</v>
      </c>
      <c r="J8" s="13">
        <v>16</v>
      </c>
      <c r="K8" s="13">
        <v>14</v>
      </c>
      <c r="L8" s="13"/>
      <c r="M8" s="13">
        <v>34.075684618281592</v>
      </c>
      <c r="N8" s="13">
        <v>0</v>
      </c>
      <c r="O8" s="13">
        <v>104.97</v>
      </c>
      <c r="P8" s="13">
        <v>125.11</v>
      </c>
      <c r="Q8" s="13">
        <v>120</v>
      </c>
      <c r="R8" s="37">
        <v>281</v>
      </c>
    </row>
    <row r="9" spans="1:18" x14ac:dyDescent="0.2">
      <c r="A9" s="29" t="s">
        <v>3</v>
      </c>
      <c r="B9" s="35">
        <f t="shared" si="0"/>
        <v>-0.14849550785316742</v>
      </c>
      <c r="C9" s="144">
        <f>E9-[1]Italy!E9</f>
        <v>-82138.768579788448</v>
      </c>
      <c r="D9" s="13">
        <f>F9-[1]Italy!F9</f>
        <v>-73971.090000000026</v>
      </c>
      <c r="E9" s="125">
        <v>314142.23142021155</v>
      </c>
      <c r="F9" s="13">
        <v>368926.1</v>
      </c>
      <c r="G9" s="13">
        <v>152696</v>
      </c>
      <c r="H9" s="97">
        <v>391916.57</v>
      </c>
      <c r="I9" s="97">
        <v>389812.28900000005</v>
      </c>
      <c r="J9" s="97">
        <v>402370</v>
      </c>
      <c r="K9" s="97">
        <v>338816</v>
      </c>
      <c r="L9" s="97">
        <v>318541</v>
      </c>
      <c r="M9" s="97">
        <v>372315.94126943563</v>
      </c>
      <c r="N9" s="97">
        <v>358127.7895695655</v>
      </c>
      <c r="O9" s="97">
        <v>361636.99</v>
      </c>
      <c r="P9" s="97">
        <v>407816.56</v>
      </c>
      <c r="Q9" s="13">
        <v>326106.8</v>
      </c>
      <c r="R9" s="37">
        <v>321678</v>
      </c>
    </row>
    <row r="10" spans="1:18" x14ac:dyDescent="0.2">
      <c r="A10" s="29" t="s">
        <v>17</v>
      </c>
      <c r="B10" s="35">
        <f t="shared" si="0"/>
        <v>-0.34618122279524161</v>
      </c>
      <c r="C10" s="144">
        <f>E10-[1]Italy!E10</f>
        <v>-13318.46345718854</v>
      </c>
      <c r="D10" s="13">
        <f>F10-[1]Italy!F10</f>
        <v>-14017.449999999997</v>
      </c>
      <c r="E10" s="125">
        <v>27510.53654281146</v>
      </c>
      <c r="F10" s="13">
        <v>42076.700000000004</v>
      </c>
      <c r="G10" s="13">
        <v>41022</v>
      </c>
      <c r="H10" s="97">
        <v>37277.525000000001</v>
      </c>
      <c r="I10" s="97">
        <v>49195.53</v>
      </c>
      <c r="J10" s="97">
        <v>44624</v>
      </c>
      <c r="K10" s="97">
        <v>38772</v>
      </c>
      <c r="L10" s="97">
        <v>18246</v>
      </c>
      <c r="M10" s="97">
        <v>29326.135518104053</v>
      </c>
      <c r="N10" s="97">
        <v>26576.570192264644</v>
      </c>
      <c r="O10" s="97">
        <v>20353.16</v>
      </c>
      <c r="P10" s="97">
        <v>22961.119999999999</v>
      </c>
      <c r="Q10" s="13">
        <v>11700</v>
      </c>
      <c r="R10" s="37">
        <v>13647</v>
      </c>
    </row>
    <row r="11" spans="1:18" x14ac:dyDescent="0.2">
      <c r="A11" s="29" t="s">
        <v>10</v>
      </c>
      <c r="B11" s="35">
        <f t="shared" si="0"/>
        <v>-1</v>
      </c>
      <c r="C11" s="144">
        <f>E11-[1]Italy!E11</f>
        <v>0</v>
      </c>
      <c r="D11" s="13">
        <f>F11-[1]Italy!F11</f>
        <v>0</v>
      </c>
      <c r="E11" s="125"/>
      <c r="F11" s="13">
        <v>40</v>
      </c>
      <c r="G11" s="13">
        <v>584</v>
      </c>
      <c r="H11" s="97">
        <v>566</v>
      </c>
      <c r="I11" s="97">
        <v>1170</v>
      </c>
      <c r="J11" s="97">
        <v>610</v>
      </c>
      <c r="K11" s="97">
        <v>2062</v>
      </c>
      <c r="L11" s="97">
        <v>1968</v>
      </c>
      <c r="M11" s="97">
        <v>2010.4653924786141</v>
      </c>
      <c r="N11" s="97">
        <v>528.94189702494305</v>
      </c>
      <c r="O11" s="97">
        <v>2814.24</v>
      </c>
      <c r="P11" s="97">
        <v>3196.52</v>
      </c>
      <c r="Q11" s="13">
        <v>2834.8</v>
      </c>
      <c r="R11" s="37">
        <v>3174</v>
      </c>
    </row>
    <row r="12" spans="1:18" x14ac:dyDescent="0.2">
      <c r="A12" s="29" t="s">
        <v>27</v>
      </c>
      <c r="B12" s="35">
        <f t="shared" si="0"/>
        <v>-7.5064790818215599E-2</v>
      </c>
      <c r="C12" s="144">
        <f>E12-[1]Italy!E12</f>
        <v>-133.80000000000018</v>
      </c>
      <c r="D12" s="13">
        <f>F12-[1]Italy!F12</f>
        <v>-84.349999999999454</v>
      </c>
      <c r="E12" s="125">
        <v>3997.2</v>
      </c>
      <c r="F12" s="13">
        <v>4321.6000000000004</v>
      </c>
      <c r="G12" s="13">
        <v>3000</v>
      </c>
      <c r="H12" s="97">
        <v>3915.3</v>
      </c>
      <c r="I12" s="97">
        <v>7313.9</v>
      </c>
      <c r="J12" s="97">
        <v>6991</v>
      </c>
      <c r="K12" s="97">
        <v>9545</v>
      </c>
      <c r="L12" s="97">
        <v>6035</v>
      </c>
      <c r="M12" s="97">
        <v>9578.2740557916823</v>
      </c>
      <c r="N12" s="97">
        <v>1170.2964932278628</v>
      </c>
      <c r="O12" s="97">
        <v>13220.48</v>
      </c>
      <c r="P12" s="97">
        <v>13752.68</v>
      </c>
      <c r="Q12" s="13">
        <v>13549.2</v>
      </c>
      <c r="R12" s="37">
        <v>11577</v>
      </c>
    </row>
    <row r="13" spans="1:18" x14ac:dyDescent="0.2">
      <c r="A13" s="29" t="s">
        <v>50</v>
      </c>
      <c r="B13" s="35"/>
      <c r="C13" s="144">
        <f>E13-[1]Italy!E13</f>
        <v>0</v>
      </c>
      <c r="D13" s="13">
        <f>F13-[1]Italy!F13</f>
        <v>0</v>
      </c>
      <c r="E13" s="125"/>
      <c r="F13" s="13">
        <v>0</v>
      </c>
      <c r="G13" s="13">
        <v>0</v>
      </c>
      <c r="H13" s="97">
        <v>0</v>
      </c>
      <c r="I13" s="97">
        <v>0</v>
      </c>
      <c r="J13" s="97">
        <v>6</v>
      </c>
      <c r="K13" s="97"/>
      <c r="L13" s="97"/>
      <c r="M13" s="97">
        <v>2.0044520363695058</v>
      </c>
      <c r="N13" s="97">
        <v>0</v>
      </c>
      <c r="O13" s="97">
        <v>2</v>
      </c>
      <c r="P13" s="97">
        <v>3</v>
      </c>
      <c r="Q13" s="13">
        <v>0</v>
      </c>
      <c r="R13" s="37">
        <v>13</v>
      </c>
    </row>
    <row r="14" spans="1:18" x14ac:dyDescent="0.2">
      <c r="A14" s="29" t="s">
        <v>105</v>
      </c>
      <c r="B14" s="35">
        <f t="shared" si="0"/>
        <v>-0.31812742110203457</v>
      </c>
      <c r="C14" s="144">
        <f>E14-[1]Italy!E14</f>
        <v>-2674.4039371762137</v>
      </c>
      <c r="D14" s="13">
        <f>F14-[1]Italy!F14</f>
        <v>-3144.7000000000016</v>
      </c>
      <c r="E14" s="125">
        <v>5192.5960628237863</v>
      </c>
      <c r="F14" s="13">
        <v>7615.2</v>
      </c>
      <c r="G14" s="13">
        <v>2624</v>
      </c>
      <c r="H14" s="97">
        <v>8335.43</v>
      </c>
      <c r="I14" s="97">
        <v>10162.19</v>
      </c>
      <c r="J14" s="97">
        <v>14809</v>
      </c>
      <c r="K14" s="97">
        <v>10837</v>
      </c>
      <c r="L14" s="97">
        <v>11344</v>
      </c>
      <c r="M14" s="97">
        <v>6429.2799066551888</v>
      </c>
      <c r="N14" s="97">
        <v>14051.587397247065</v>
      </c>
      <c r="O14" s="97">
        <v>8328.0400000000009</v>
      </c>
      <c r="P14" s="97">
        <v>23702.27</v>
      </c>
      <c r="Q14" s="13">
        <v>12902</v>
      </c>
      <c r="R14" s="37">
        <v>18613</v>
      </c>
    </row>
    <row r="15" spans="1:18" x14ac:dyDescent="0.2">
      <c r="A15" s="29" t="s">
        <v>13</v>
      </c>
      <c r="B15" s="35">
        <f t="shared" si="0"/>
        <v>-8.6097152428810664E-2</v>
      </c>
      <c r="C15" s="144">
        <f>E15-[1]Italy!E15</f>
        <v>-5324.5999999999985</v>
      </c>
      <c r="D15" s="13">
        <f>F15-[1]Italy!F15</f>
        <v>-3191.1200000000026</v>
      </c>
      <c r="E15" s="125">
        <v>21278.400000000001</v>
      </c>
      <c r="F15" s="13">
        <v>23283</v>
      </c>
      <c r="G15" s="13"/>
      <c r="H15" s="97"/>
      <c r="I15" s="97"/>
      <c r="J15" s="97"/>
      <c r="K15" s="97"/>
      <c r="L15" s="97"/>
      <c r="M15" s="97"/>
      <c r="N15" s="97"/>
      <c r="O15" s="97"/>
      <c r="P15" s="97"/>
      <c r="Q15" s="13"/>
      <c r="R15" s="37"/>
    </row>
    <row r="16" spans="1:18" x14ac:dyDescent="0.2">
      <c r="A16" s="29" t="s">
        <v>19</v>
      </c>
      <c r="B16" s="35">
        <f t="shared" si="0"/>
        <v>-0.24975160783220865</v>
      </c>
      <c r="C16" s="144">
        <f>E16-[1]Italy!E16</f>
        <v>-26506.893158572406</v>
      </c>
      <c r="D16" s="13">
        <f>F16-[1]Italy!F16</f>
        <v>-35026.910000000003</v>
      </c>
      <c r="E16" s="125">
        <v>50084.106841427594</v>
      </c>
      <c r="F16" s="13">
        <v>66756.7</v>
      </c>
      <c r="G16" s="13">
        <v>36400</v>
      </c>
      <c r="H16" s="97">
        <v>65665.899999999994</v>
      </c>
      <c r="I16" s="97">
        <v>62788.66</v>
      </c>
      <c r="J16" s="97">
        <v>61368</v>
      </c>
      <c r="K16" s="97">
        <v>63690</v>
      </c>
      <c r="L16" s="97">
        <v>43299</v>
      </c>
      <c r="M16" s="97">
        <v>48575.890649378598</v>
      </c>
      <c r="N16" s="97">
        <v>49376.274429112098</v>
      </c>
      <c r="O16" s="97">
        <v>64511.67</v>
      </c>
      <c r="P16" s="97">
        <v>53222.61</v>
      </c>
      <c r="Q16" s="13">
        <v>34722.5</v>
      </c>
      <c r="R16" s="37">
        <v>59840</v>
      </c>
    </row>
    <row r="17" spans="1:18" x14ac:dyDescent="0.2">
      <c r="A17" s="29" t="s">
        <v>106</v>
      </c>
      <c r="B17" s="35">
        <f t="shared" si="0"/>
        <v>-0.48661159728469783</v>
      </c>
      <c r="C17" s="144">
        <f>E17-[1]Italy!E17</f>
        <v>-2481.8000000000002</v>
      </c>
      <c r="D17" s="13">
        <f>F17-[1]Italy!F17</f>
        <v>-3560.8999999999996</v>
      </c>
      <c r="E17" s="125">
        <v>6277.2</v>
      </c>
      <c r="F17" s="13">
        <v>12227</v>
      </c>
      <c r="G17" s="13">
        <v>0</v>
      </c>
      <c r="H17" s="97">
        <v>8670.4</v>
      </c>
      <c r="I17" s="97">
        <v>8807.5</v>
      </c>
      <c r="J17" s="97">
        <v>8239</v>
      </c>
      <c r="K17" s="97">
        <v>5491</v>
      </c>
      <c r="L17" s="97">
        <v>2296</v>
      </c>
      <c r="M17" s="97">
        <v>3550.886782428579</v>
      </c>
      <c r="N17" s="97">
        <v>5993.0020249258732</v>
      </c>
      <c r="O17" s="97">
        <v>4276.1000000000004</v>
      </c>
      <c r="P17" s="97">
        <v>1547.9</v>
      </c>
      <c r="Q17" s="13">
        <v>4659.6000000000004</v>
      </c>
      <c r="R17" s="37">
        <v>230</v>
      </c>
    </row>
    <row r="18" spans="1:18" x14ac:dyDescent="0.2">
      <c r="A18" s="29" t="s">
        <v>21</v>
      </c>
      <c r="B18" s="35">
        <f t="shared" si="0"/>
        <v>-1</v>
      </c>
      <c r="C18" s="144">
        <f>E18-[1]Italy!E18</f>
        <v>0</v>
      </c>
      <c r="D18" s="13">
        <f>F18-[1]Italy!F18</f>
        <v>-2073.0500000000002</v>
      </c>
      <c r="E18" s="125"/>
      <c r="F18" s="13">
        <v>407</v>
      </c>
      <c r="G18" s="13">
        <v>671</v>
      </c>
      <c r="H18" s="97">
        <v>4410.3999999999996</v>
      </c>
      <c r="I18" s="97">
        <v>5295.5</v>
      </c>
      <c r="J18" s="97">
        <v>5820</v>
      </c>
      <c r="K18" s="97">
        <v>3515</v>
      </c>
      <c r="L18" s="97">
        <v>365</v>
      </c>
      <c r="M18" s="97">
        <v>4173.2691397213102</v>
      </c>
      <c r="N18" s="97">
        <v>4684.1970273537181</v>
      </c>
      <c r="O18" s="97">
        <v>2353.65</v>
      </c>
      <c r="P18" s="97">
        <v>3581.78</v>
      </c>
      <c r="Q18" s="13">
        <v>989</v>
      </c>
      <c r="R18" s="37">
        <v>5055</v>
      </c>
    </row>
    <row r="19" spans="1:18" ht="13.5" thickBot="1" x14ac:dyDescent="0.25">
      <c r="A19" s="28" t="s">
        <v>59</v>
      </c>
      <c r="B19" s="35">
        <f t="shared" si="0"/>
        <v>-0.25742606971749543</v>
      </c>
      <c r="C19" s="144">
        <f>E19-[1]Italy!E19</f>
        <v>-19193</v>
      </c>
      <c r="D19" s="13">
        <f>F19-[1]Italy!F19</f>
        <v>-12772.700000000004</v>
      </c>
      <c r="E19" s="125">
        <f>(3861+18613)</f>
        <v>22474</v>
      </c>
      <c r="F19" s="13">
        <v>30265</v>
      </c>
      <c r="G19" s="13">
        <v>15409</v>
      </c>
      <c r="H19" s="97">
        <v>35897.199999999997</v>
      </c>
      <c r="I19" s="97">
        <v>28007.599999999999</v>
      </c>
      <c r="J19" s="97">
        <v>26283</v>
      </c>
      <c r="K19" s="97">
        <v>19644</v>
      </c>
      <c r="L19" s="97">
        <v>7129</v>
      </c>
      <c r="M19" s="97">
        <v>12141.96821030828</v>
      </c>
      <c r="N19" s="97">
        <v>19096.107272858761</v>
      </c>
      <c r="O19" s="97">
        <v>30939</v>
      </c>
      <c r="P19" s="97">
        <v>17817</v>
      </c>
      <c r="Q19" s="13">
        <v>14196</v>
      </c>
      <c r="R19" s="37">
        <v>16146</v>
      </c>
    </row>
    <row r="20" spans="1:18" ht="13.5" thickBot="1" x14ac:dyDescent="0.25">
      <c r="A20" s="151" t="s">
        <v>23</v>
      </c>
      <c r="B20" s="130">
        <f t="shared" si="0"/>
        <v>-0.19595848069983052</v>
      </c>
      <c r="C20" s="171">
        <f>E20-[1]Italy!E20</f>
        <v>-224322.99386076699</v>
      </c>
      <c r="D20" s="106">
        <f>F20-[1]Italy!F20</f>
        <v>-221083.45000000007</v>
      </c>
      <c r="E20" s="58">
        <f>SUM(E2:E19)</f>
        <v>556714.00613923301</v>
      </c>
      <c r="F20" s="106">
        <f>SUM(F2:F19)</f>
        <v>692394.59999999986</v>
      </c>
      <c r="G20" s="106">
        <f t="shared" ref="G20:L20" si="1">SUM(G2:G19)</f>
        <v>326613</v>
      </c>
      <c r="H20" s="106">
        <f t="shared" si="1"/>
        <v>673776.64500000014</v>
      </c>
      <c r="I20" s="106">
        <f t="shared" si="1"/>
        <v>681203.5120000001</v>
      </c>
      <c r="J20" s="106">
        <f t="shared" si="1"/>
        <v>707376</v>
      </c>
      <c r="K20" s="106">
        <f t="shared" si="1"/>
        <v>608664</v>
      </c>
      <c r="L20" s="106">
        <f t="shared" si="1"/>
        <v>472911</v>
      </c>
      <c r="M20" s="106">
        <f t="shared" ref="M20:R20" si="2">SUM(M2:M19)</f>
        <v>596108</v>
      </c>
      <c r="N20" s="106">
        <f t="shared" si="2"/>
        <v>582902</v>
      </c>
      <c r="O20" s="106">
        <f t="shared" si="2"/>
        <v>585606.15999999992</v>
      </c>
      <c r="P20" s="106">
        <f t="shared" si="2"/>
        <v>615685.20000000007</v>
      </c>
      <c r="Q20" s="106">
        <f t="shared" si="2"/>
        <v>484917.1</v>
      </c>
      <c r="R20" s="152">
        <f t="shared" si="2"/>
        <v>495348</v>
      </c>
    </row>
    <row r="21" spans="1:18" s="9" customFormat="1" x14ac:dyDescent="0.2">
      <c r="B21" s="44"/>
      <c r="C21" s="44"/>
      <c r="D21" s="44"/>
      <c r="E21" s="44"/>
      <c r="F21" s="44"/>
      <c r="G21" s="44"/>
      <c r="H21" s="44"/>
      <c r="I21" s="12"/>
      <c r="J21" s="12"/>
      <c r="K21" s="12"/>
      <c r="L21" s="12"/>
      <c r="M21" s="12"/>
      <c r="N21" s="12"/>
      <c r="O21" s="12"/>
      <c r="P21" s="12"/>
    </row>
    <row r="22" spans="1:18" s="9" customFormat="1" ht="13.5" thickBot="1" x14ac:dyDescent="0.25">
      <c r="B22" s="44"/>
      <c r="C22" s="44"/>
      <c r="D22" s="44"/>
      <c r="E22" s="44"/>
      <c r="F22" s="44"/>
      <c r="G22" s="44"/>
      <c r="H22" s="44"/>
      <c r="I22" s="12"/>
      <c r="J22" s="12"/>
      <c r="K22" s="12"/>
      <c r="L22" s="12"/>
      <c r="M22" s="12"/>
      <c r="N22" s="12"/>
      <c r="O22" s="12"/>
      <c r="P22" s="12"/>
    </row>
    <row r="23" spans="1:18" s="16" customFormat="1" ht="13.5" thickBot="1" x14ac:dyDescent="0.25">
      <c r="A23" s="31" t="s">
        <v>25</v>
      </c>
      <c r="B23" s="32" t="s">
        <v>174</v>
      </c>
      <c r="C23" s="62" t="s">
        <v>173</v>
      </c>
      <c r="D23" s="96" t="s">
        <v>168</v>
      </c>
      <c r="E23" s="128">
        <v>43922</v>
      </c>
      <c r="F23" s="136">
        <v>43556</v>
      </c>
      <c r="G23" s="136">
        <v>43191</v>
      </c>
      <c r="H23" s="33">
        <v>42826</v>
      </c>
      <c r="I23" s="33">
        <v>42461</v>
      </c>
      <c r="J23" s="33">
        <v>42095</v>
      </c>
      <c r="K23" s="33">
        <v>41730</v>
      </c>
      <c r="L23" s="33">
        <v>41365</v>
      </c>
      <c r="M23" s="33">
        <v>41000</v>
      </c>
      <c r="N23" s="33">
        <v>40634</v>
      </c>
      <c r="O23" s="33">
        <v>40269</v>
      </c>
      <c r="P23" s="33">
        <v>39904</v>
      </c>
      <c r="Q23" s="33">
        <v>39539</v>
      </c>
      <c r="R23" s="34">
        <v>39173</v>
      </c>
    </row>
    <row r="24" spans="1:18" x14ac:dyDescent="0.2">
      <c r="A24" s="27" t="s">
        <v>103</v>
      </c>
      <c r="B24" s="35">
        <f t="shared" ref="B24:B29" si="3">(E24-F24)/F24</f>
        <v>-1</v>
      </c>
      <c r="C24" s="144">
        <f>E24-[1]Italy!E24</f>
        <v>0</v>
      </c>
      <c r="D24" s="13">
        <f>F24-[1]Italy!F24</f>
        <v>-37142.085761429553</v>
      </c>
      <c r="E24" s="125">
        <v>0</v>
      </c>
      <c r="F24" s="13">
        <v>26829.819830192278</v>
      </c>
      <c r="G24" s="13">
        <v>34021.795290985603</v>
      </c>
      <c r="H24" s="13">
        <v>20538.413424085287</v>
      </c>
      <c r="I24" s="13">
        <v>25154.208800925109</v>
      </c>
      <c r="J24" s="13">
        <v>17792</v>
      </c>
      <c r="K24" s="13">
        <v>26651</v>
      </c>
      <c r="L24" s="13">
        <v>2711.7173071990696</v>
      </c>
      <c r="M24" s="13">
        <v>28065.939289488546</v>
      </c>
      <c r="N24" s="13">
        <v>6928</v>
      </c>
      <c r="O24" s="13">
        <v>3959</v>
      </c>
      <c r="P24" s="13">
        <v>3252</v>
      </c>
      <c r="Q24" s="13">
        <v>2111</v>
      </c>
      <c r="R24" s="37">
        <v>3759</v>
      </c>
    </row>
    <row r="25" spans="1:18" x14ac:dyDescent="0.2">
      <c r="A25" s="27" t="s">
        <v>7</v>
      </c>
      <c r="B25" s="35">
        <f t="shared" si="3"/>
        <v>-1</v>
      </c>
      <c r="C25" s="144">
        <f>E25-[1]Italy!E25</f>
        <v>0</v>
      </c>
      <c r="D25" s="13">
        <f>F25-[1]Italy!F25</f>
        <v>-6152.8929333830747</v>
      </c>
      <c r="E25" s="125">
        <v>0</v>
      </c>
      <c r="F25" s="13">
        <v>16488.082891178656</v>
      </c>
      <c r="G25" s="13">
        <v>15753.36084712658</v>
      </c>
      <c r="H25" s="13">
        <v>10381.299867177708</v>
      </c>
      <c r="I25" s="13">
        <v>25574.152276432193</v>
      </c>
      <c r="J25" s="13">
        <v>18835</v>
      </c>
      <c r="K25" s="13">
        <v>30896</v>
      </c>
      <c r="L25" s="13">
        <v>19726.746595310411</v>
      </c>
      <c r="M25" s="13">
        <v>45864.997029011407</v>
      </c>
      <c r="N25" s="13">
        <v>18811</v>
      </c>
      <c r="O25" s="13">
        <v>36175</v>
      </c>
      <c r="P25" s="13">
        <v>30863</v>
      </c>
      <c r="Q25" s="13">
        <v>29032</v>
      </c>
      <c r="R25" s="37">
        <v>35287</v>
      </c>
    </row>
    <row r="26" spans="1:18" x14ac:dyDescent="0.2">
      <c r="A26" s="27" t="s">
        <v>104</v>
      </c>
      <c r="B26" s="35">
        <f t="shared" si="3"/>
        <v>-1</v>
      </c>
      <c r="C26" s="144">
        <f>E26-[1]Italy!E26</f>
        <v>0</v>
      </c>
      <c r="D26" s="13">
        <f>F26-[1]Italy!F26</f>
        <v>-1224.1518886040326</v>
      </c>
      <c r="E26" s="125">
        <v>0</v>
      </c>
      <c r="F26" s="13">
        <v>990.1694059020607</v>
      </c>
      <c r="G26" s="13">
        <v>74.76443915123636</v>
      </c>
      <c r="H26" s="13">
        <v>89.2790609218642</v>
      </c>
      <c r="I26" s="13">
        <v>474.0559315953858</v>
      </c>
      <c r="J26" s="13">
        <v>387</v>
      </c>
      <c r="K26" s="13">
        <v>408</v>
      </c>
      <c r="L26" s="13">
        <v>31.68894328710233</v>
      </c>
      <c r="M26" s="13">
        <v>4834.4434599084934</v>
      </c>
      <c r="N26" s="13">
        <v>172</v>
      </c>
      <c r="O26" s="13">
        <v>4922</v>
      </c>
      <c r="P26" s="13">
        <v>340</v>
      </c>
      <c r="Q26" s="13">
        <v>2995</v>
      </c>
      <c r="R26" s="37">
        <v>2087</v>
      </c>
    </row>
    <row r="27" spans="1:18" x14ac:dyDescent="0.2">
      <c r="A27" s="27" t="s">
        <v>30</v>
      </c>
      <c r="B27" s="35">
        <f t="shared" si="3"/>
        <v>-1</v>
      </c>
      <c r="C27" s="144">
        <f>E27-[1]Italy!E27</f>
        <v>0</v>
      </c>
      <c r="D27" s="13">
        <f>F27-[1]Italy!F27</f>
        <v>-5480.2633096098762</v>
      </c>
      <c r="E27" s="125">
        <v>0</v>
      </c>
      <c r="F27" s="13">
        <v>3798.4529218193002</v>
      </c>
      <c r="G27" s="13">
        <v>5314.6478051631402</v>
      </c>
      <c r="H27" s="13">
        <v>2996.1253677626109</v>
      </c>
      <c r="I27" s="13">
        <v>8277.0377277709031</v>
      </c>
      <c r="J27" s="13">
        <v>1006</v>
      </c>
      <c r="K27" s="13">
        <v>11342</v>
      </c>
      <c r="L27" s="13">
        <v>2078.8098475820602</v>
      </c>
      <c r="M27" s="13">
        <v>8397.915270700918</v>
      </c>
      <c r="N27" s="13">
        <v>1777</v>
      </c>
      <c r="O27" s="13">
        <v>9870</v>
      </c>
      <c r="P27" s="13">
        <v>666</v>
      </c>
      <c r="Q27" s="13">
        <v>1895</v>
      </c>
      <c r="R27" s="37">
        <v>4095</v>
      </c>
    </row>
    <row r="28" spans="1:18" ht="13.5" thickBot="1" x14ac:dyDescent="0.25">
      <c r="A28" s="27" t="s">
        <v>59</v>
      </c>
      <c r="B28" s="35">
        <f t="shared" si="3"/>
        <v>-1</v>
      </c>
      <c r="C28" s="144">
        <f>E28-[1]Italy!E28</f>
        <v>0</v>
      </c>
      <c r="D28" s="13">
        <f>F28-[1]Italy!F28</f>
        <v>-2693.9880728293801</v>
      </c>
      <c r="E28" s="125">
        <v>0</v>
      </c>
      <c r="F28" s="13">
        <v>1327.7167251324565</v>
      </c>
      <c r="G28" s="13">
        <v>330</v>
      </c>
      <c r="H28" s="13">
        <v>700</v>
      </c>
      <c r="I28" s="13">
        <v>752.30252958324445</v>
      </c>
      <c r="J28" s="13">
        <v>541.65417463634424</v>
      </c>
      <c r="K28" s="13">
        <v>719</v>
      </c>
      <c r="L28" s="13">
        <v>215</v>
      </c>
      <c r="M28" s="13">
        <v>158.32292448064237</v>
      </c>
      <c r="N28" s="13">
        <v>448</v>
      </c>
      <c r="O28" s="13">
        <v>1359</v>
      </c>
      <c r="P28" s="13">
        <v>23</v>
      </c>
      <c r="Q28" s="13">
        <v>279</v>
      </c>
      <c r="R28" s="37">
        <v>226</v>
      </c>
    </row>
    <row r="29" spans="1:18" ht="13.5" thickBot="1" x14ac:dyDescent="0.25">
      <c r="A29" s="31" t="s">
        <v>23</v>
      </c>
      <c r="B29" s="130">
        <f t="shared" si="3"/>
        <v>-1</v>
      </c>
      <c r="C29" s="171">
        <f>E29-[1]Italy!E29</f>
        <v>0</v>
      </c>
      <c r="D29" s="106">
        <f>F29-[1]Italy!F29</f>
        <v>-52693.381965855922</v>
      </c>
      <c r="E29" s="58">
        <v>0</v>
      </c>
      <c r="F29" s="106">
        <f>SUM(F24:F28)</f>
        <v>49434.241774224749</v>
      </c>
      <c r="G29" s="106">
        <f>SUM(G24:G28)</f>
        <v>55494.568382426565</v>
      </c>
      <c r="H29" s="106">
        <v>34705.11771994747</v>
      </c>
      <c r="I29" s="106">
        <v>60231.757266306835</v>
      </c>
      <c r="J29" s="106">
        <v>38561.654174636344</v>
      </c>
      <c r="K29" s="106">
        <v>70016</v>
      </c>
      <c r="L29" s="106">
        <f>SUM(L24:L28)</f>
        <v>24763.962693378642</v>
      </c>
      <c r="M29" s="106">
        <f t="shared" ref="M29:R29" si="4">SUM(M24:M28)</f>
        <v>87321.617973590008</v>
      </c>
      <c r="N29" s="106">
        <f t="shared" si="4"/>
        <v>28136</v>
      </c>
      <c r="O29" s="106">
        <f t="shared" si="4"/>
        <v>56285</v>
      </c>
      <c r="P29" s="106">
        <f t="shared" si="4"/>
        <v>35144</v>
      </c>
      <c r="Q29" s="106">
        <f t="shared" si="4"/>
        <v>36312</v>
      </c>
      <c r="R29" s="152">
        <f t="shared" si="4"/>
        <v>45454</v>
      </c>
    </row>
    <row r="31" spans="1:18" x14ac:dyDescent="0.2">
      <c r="A31" s="12"/>
    </row>
    <row r="36" spans="17:19" ht="18" x14ac:dyDescent="0.25">
      <c r="Q36" s="5"/>
      <c r="R36" s="1"/>
      <c r="S36" s="1"/>
    </row>
    <row r="37" spans="17:19" ht="18" x14ac:dyDescent="0.25">
      <c r="Q37" s="5"/>
      <c r="R37" s="1"/>
      <c r="S37" s="1"/>
    </row>
    <row r="38" spans="17:19" ht="18" x14ac:dyDescent="0.25">
      <c r="Q38" s="5"/>
      <c r="R38" s="1"/>
      <c r="S38" s="1"/>
    </row>
    <row r="39" spans="17:19" ht="18" x14ac:dyDescent="0.25">
      <c r="Q39" s="5"/>
      <c r="R39" s="1"/>
      <c r="S39" s="1"/>
    </row>
    <row r="40" spans="17:19" ht="18" x14ac:dyDescent="0.25">
      <c r="Q40" s="5"/>
      <c r="R40" s="1"/>
      <c r="S40" s="1"/>
    </row>
    <row r="41" spans="17:19" ht="18" x14ac:dyDescent="0.25">
      <c r="Q41" s="5"/>
      <c r="R41" s="1"/>
      <c r="S41" s="1"/>
    </row>
    <row r="42" spans="17:19" ht="18" x14ac:dyDescent="0.25">
      <c r="Q42" s="5"/>
      <c r="R42" s="1"/>
      <c r="S42" s="1"/>
    </row>
    <row r="43" spans="17:19" ht="18" x14ac:dyDescent="0.25">
      <c r="Q43" s="5"/>
      <c r="R43" s="1"/>
      <c r="S43" s="1"/>
    </row>
    <row r="44" spans="17:19" ht="18" x14ac:dyDescent="0.25">
      <c r="Q44" s="5"/>
      <c r="R44" s="1"/>
      <c r="S44" s="1"/>
    </row>
    <row r="45" spans="17:19" ht="18" x14ac:dyDescent="0.25">
      <c r="Q45" s="5"/>
      <c r="R45" s="1"/>
      <c r="S45" s="1"/>
    </row>
    <row r="46" spans="17:19" ht="18" x14ac:dyDescent="0.25">
      <c r="Q46" s="6"/>
      <c r="R46" s="1"/>
      <c r="S46" s="1"/>
    </row>
    <row r="47" spans="17:19" ht="18.75" x14ac:dyDescent="0.3">
      <c r="Q47" s="7"/>
      <c r="R47" s="2"/>
      <c r="S47" s="2"/>
    </row>
  </sheetData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zoomScale="65" zoomScaleNormal="65" workbookViewId="0">
      <selection activeCell="E14" sqref="E14"/>
    </sheetView>
  </sheetViews>
  <sheetFormatPr defaultRowHeight="12.75" x14ac:dyDescent="0.2"/>
  <cols>
    <col min="1" max="1" width="29.28515625" customWidth="1"/>
    <col min="2" max="2" width="10.7109375" customWidth="1"/>
    <col min="3" max="3" width="11.5703125" bestFit="1" customWidth="1"/>
    <col min="4" max="4" width="11.5703125" style="9" bestFit="1" customWidth="1"/>
    <col min="5" max="5" width="11.5703125" style="9" customWidth="1"/>
    <col min="6" max="6" width="11.5703125" customWidth="1"/>
    <col min="7" max="7" width="11.42578125" style="9" customWidth="1"/>
    <col min="8" max="8" width="10.7109375" customWidth="1"/>
    <col min="9" max="16" width="10.140625" style="12" bestFit="1" customWidth="1"/>
    <col min="17" max="18" width="10.140625" bestFit="1" customWidth="1"/>
  </cols>
  <sheetData>
    <row r="1" spans="1:18" s="16" customFormat="1" ht="13.5" thickBot="1" x14ac:dyDescent="0.25">
      <c r="A1" s="31" t="s">
        <v>24</v>
      </c>
      <c r="B1" s="32" t="s">
        <v>174</v>
      </c>
      <c r="C1" s="62" t="s">
        <v>173</v>
      </c>
      <c r="D1" s="96" t="s">
        <v>168</v>
      </c>
      <c r="E1" s="128">
        <v>43922</v>
      </c>
      <c r="F1" s="136">
        <v>43556</v>
      </c>
      <c r="G1" s="136">
        <v>43191</v>
      </c>
      <c r="H1" s="33">
        <v>42826</v>
      </c>
      <c r="I1" s="33">
        <v>42461</v>
      </c>
      <c r="J1" s="33">
        <v>42095</v>
      </c>
      <c r="K1" s="33">
        <v>41730</v>
      </c>
      <c r="L1" s="33">
        <v>41365</v>
      </c>
      <c r="M1" s="33">
        <v>41000</v>
      </c>
      <c r="N1" s="33">
        <v>40634</v>
      </c>
      <c r="O1" s="33">
        <v>40269</v>
      </c>
      <c r="P1" s="33">
        <v>39904</v>
      </c>
      <c r="Q1" s="33">
        <v>39539</v>
      </c>
      <c r="R1" s="34">
        <v>39173</v>
      </c>
    </row>
    <row r="2" spans="1:18" x14ac:dyDescent="0.2">
      <c r="A2" s="53" t="s">
        <v>4</v>
      </c>
      <c r="B2" s="35"/>
      <c r="C2" s="144">
        <f>E2-[1]Poland!E2</f>
        <v>0</v>
      </c>
      <c r="D2" s="13">
        <f>F2-[1]Poland!F2</f>
        <v>0</v>
      </c>
      <c r="E2" s="125"/>
      <c r="F2" s="13"/>
      <c r="G2" s="84"/>
      <c r="H2" s="84"/>
      <c r="I2" s="13">
        <v>0</v>
      </c>
      <c r="J2" s="13">
        <v>0</v>
      </c>
      <c r="K2" s="13">
        <v>0</v>
      </c>
      <c r="L2" s="13">
        <v>0</v>
      </c>
      <c r="M2" s="13">
        <v>0</v>
      </c>
      <c r="N2" s="13">
        <v>0</v>
      </c>
      <c r="O2" s="13">
        <v>0</v>
      </c>
      <c r="P2" s="13">
        <v>0</v>
      </c>
      <c r="Q2" s="13">
        <v>0</v>
      </c>
      <c r="R2" s="37">
        <v>0</v>
      </c>
    </row>
    <row r="3" spans="1:18" x14ac:dyDescent="0.2">
      <c r="A3" s="53" t="s">
        <v>33</v>
      </c>
      <c r="B3" s="35"/>
      <c r="C3" s="144">
        <f>E3-[1]Poland!E3</f>
        <v>0</v>
      </c>
      <c r="D3" s="13">
        <f>F3-[1]Poland!F3</f>
        <v>0</v>
      </c>
      <c r="E3" s="125"/>
      <c r="F3" s="13"/>
      <c r="G3" s="13"/>
      <c r="H3" s="13"/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8000</v>
      </c>
      <c r="P3" s="13">
        <v>1000</v>
      </c>
      <c r="Q3" s="13">
        <v>0</v>
      </c>
      <c r="R3" s="37">
        <v>5000</v>
      </c>
    </row>
    <row r="4" spans="1:18" x14ac:dyDescent="0.2">
      <c r="A4" s="27" t="s">
        <v>2</v>
      </c>
      <c r="B4" s="35"/>
      <c r="C4" s="144">
        <f>E4-[1]Poland!E4</f>
        <v>0</v>
      </c>
      <c r="D4" s="13">
        <f>F4-[1]Poland!F4</f>
        <v>0</v>
      </c>
      <c r="E4" s="125"/>
      <c r="F4" s="13"/>
      <c r="G4" s="13"/>
      <c r="H4" s="13"/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5000</v>
      </c>
      <c r="P4" s="13">
        <v>1000</v>
      </c>
      <c r="Q4" s="13">
        <v>0</v>
      </c>
      <c r="R4" s="37">
        <v>0</v>
      </c>
    </row>
    <row r="5" spans="1:18" x14ac:dyDescent="0.2">
      <c r="A5" s="27" t="s">
        <v>9</v>
      </c>
      <c r="B5" s="35">
        <f t="shared" ref="B5:B18" si="0">(E5-F5)/F5</f>
        <v>-0.25</v>
      </c>
      <c r="C5" s="144">
        <f>E5-[1]Poland!E5</f>
        <v>-15000</v>
      </c>
      <c r="D5" s="13">
        <f>F5-[1]Poland!F5</f>
        <v>-30000</v>
      </c>
      <c r="E5" s="125">
        <v>15000</v>
      </c>
      <c r="F5" s="13">
        <v>20000</v>
      </c>
      <c r="G5" s="13">
        <v>7000</v>
      </c>
      <c r="H5" s="13">
        <v>10000</v>
      </c>
      <c r="I5" s="13">
        <v>15000</v>
      </c>
      <c r="J5" s="13">
        <v>12000</v>
      </c>
      <c r="K5" s="13">
        <v>25000</v>
      </c>
      <c r="L5" s="13">
        <v>5000</v>
      </c>
      <c r="M5" s="13">
        <v>5000</v>
      </c>
      <c r="N5" s="13">
        <v>20000</v>
      </c>
      <c r="O5" s="13">
        <v>40000</v>
      </c>
      <c r="P5" s="13">
        <v>15000</v>
      </c>
      <c r="Q5" s="13">
        <v>10000</v>
      </c>
      <c r="R5" s="37">
        <v>10000</v>
      </c>
    </row>
    <row r="6" spans="1:18" x14ac:dyDescent="0.2">
      <c r="A6" s="27" t="s">
        <v>14</v>
      </c>
      <c r="B6" s="35">
        <f t="shared" si="0"/>
        <v>0</v>
      </c>
      <c r="C6" s="144">
        <f>E6-[1]Poland!E6</f>
        <v>-10000</v>
      </c>
      <c r="D6" s="13">
        <f>F6-[1]Poland!F6</f>
        <v>-25000</v>
      </c>
      <c r="E6" s="125">
        <v>40000</v>
      </c>
      <c r="F6" s="13">
        <v>40000</v>
      </c>
      <c r="G6" s="13">
        <v>40000</v>
      </c>
      <c r="H6" s="13">
        <v>50000</v>
      </c>
      <c r="I6" s="13">
        <v>45000</v>
      </c>
      <c r="J6" s="13">
        <v>40000</v>
      </c>
      <c r="K6" s="13">
        <v>40000</v>
      </c>
      <c r="L6" s="13">
        <v>40000</v>
      </c>
      <c r="M6" s="13">
        <v>40000</v>
      </c>
      <c r="N6" s="13">
        <v>5000</v>
      </c>
      <c r="O6" s="13">
        <v>8000</v>
      </c>
      <c r="P6" s="13">
        <v>3000</v>
      </c>
      <c r="Q6" s="13">
        <v>5000</v>
      </c>
      <c r="R6" s="37">
        <v>8000</v>
      </c>
    </row>
    <row r="7" spans="1:18" x14ac:dyDescent="0.2">
      <c r="A7" s="29" t="s">
        <v>3</v>
      </c>
      <c r="B7" s="35">
        <f t="shared" si="0"/>
        <v>-0.14285714285714285</v>
      </c>
      <c r="C7" s="144">
        <f>E7-[1]Poland!E7</f>
        <v>-20000</v>
      </c>
      <c r="D7" s="13">
        <f>F7-[1]Poland!F7</f>
        <v>-35000</v>
      </c>
      <c r="E7" s="125">
        <v>60000</v>
      </c>
      <c r="F7" s="13">
        <v>70000</v>
      </c>
      <c r="G7" s="97">
        <v>90000</v>
      </c>
      <c r="H7" s="97">
        <v>95000</v>
      </c>
      <c r="I7" s="97">
        <v>95000</v>
      </c>
      <c r="J7" s="97">
        <v>85000</v>
      </c>
      <c r="K7" s="97">
        <v>80000</v>
      </c>
      <c r="L7" s="97">
        <v>65000</v>
      </c>
      <c r="M7" s="97">
        <v>50000</v>
      </c>
      <c r="N7" s="97">
        <v>20000</v>
      </c>
      <c r="O7" s="97">
        <v>40000</v>
      </c>
      <c r="P7" s="97">
        <v>30000</v>
      </c>
      <c r="Q7" s="13">
        <v>20000</v>
      </c>
      <c r="R7" s="37">
        <v>22000</v>
      </c>
    </row>
    <row r="8" spans="1:18" x14ac:dyDescent="0.2">
      <c r="A8" s="29" t="s">
        <v>10</v>
      </c>
      <c r="B8" s="35">
        <f t="shared" si="0"/>
        <v>-0.57894736842105265</v>
      </c>
      <c r="C8" s="144">
        <f>E8-[1]Poland!E8</f>
        <v>-30000</v>
      </c>
      <c r="D8" s="13">
        <f>F8-[1]Poland!F8</f>
        <v>-40000</v>
      </c>
      <c r="E8" s="125">
        <v>80000</v>
      </c>
      <c r="F8" s="13">
        <v>190000</v>
      </c>
      <c r="G8" s="97">
        <v>70000</v>
      </c>
      <c r="H8" s="97">
        <v>170000</v>
      </c>
      <c r="I8" s="97">
        <v>170000</v>
      </c>
      <c r="J8" s="97">
        <v>140000</v>
      </c>
      <c r="K8" s="97">
        <v>150000</v>
      </c>
      <c r="L8" s="97">
        <v>130000</v>
      </c>
      <c r="M8" s="97">
        <v>120000</v>
      </c>
      <c r="N8" s="97">
        <v>40000</v>
      </c>
      <c r="O8" s="97">
        <v>60000</v>
      </c>
      <c r="P8" s="97">
        <v>70000</v>
      </c>
      <c r="Q8" s="13">
        <v>20000</v>
      </c>
      <c r="R8" s="37">
        <v>40000</v>
      </c>
    </row>
    <row r="9" spans="1:18" x14ac:dyDescent="0.2">
      <c r="A9" s="29" t="s">
        <v>27</v>
      </c>
      <c r="B9" s="35">
        <f t="shared" si="0"/>
        <v>-0.66666666666666663</v>
      </c>
      <c r="C9" s="144">
        <f>E9-[1]Poland!E9</f>
        <v>-10000</v>
      </c>
      <c r="D9" s="13">
        <f>F9-[1]Poland!F9</f>
        <v>-25000</v>
      </c>
      <c r="E9" s="125">
        <v>10000</v>
      </c>
      <c r="F9" s="13">
        <v>30000</v>
      </c>
      <c r="G9" s="97">
        <v>10000</v>
      </c>
      <c r="H9" s="97">
        <v>45000</v>
      </c>
      <c r="I9" s="97">
        <v>50000</v>
      </c>
      <c r="J9" s="97">
        <v>40000</v>
      </c>
      <c r="K9" s="97">
        <v>40000</v>
      </c>
      <c r="L9" s="97">
        <v>40000</v>
      </c>
      <c r="M9" s="97">
        <v>40000</v>
      </c>
      <c r="N9" s="97">
        <v>10000</v>
      </c>
      <c r="O9" s="97">
        <v>30000</v>
      </c>
      <c r="P9" s="97">
        <v>5000</v>
      </c>
      <c r="Q9" s="13">
        <v>0</v>
      </c>
      <c r="R9" s="37">
        <v>3000</v>
      </c>
    </row>
    <row r="10" spans="1:18" x14ac:dyDescent="0.2">
      <c r="A10" s="29" t="s">
        <v>157</v>
      </c>
      <c r="B10" s="35">
        <f t="shared" si="0"/>
        <v>-0.89230769230769236</v>
      </c>
      <c r="C10" s="144">
        <f>E10-[1]Poland!E10</f>
        <v>-8000</v>
      </c>
      <c r="D10" s="13">
        <f>F10-[1]Poland!F10</f>
        <v>-30000</v>
      </c>
      <c r="E10" s="125">
        <v>7000</v>
      </c>
      <c r="F10" s="13">
        <v>65000</v>
      </c>
      <c r="G10" s="97">
        <v>30000</v>
      </c>
      <c r="H10" s="97">
        <v>65000</v>
      </c>
      <c r="I10" s="97">
        <v>65000</v>
      </c>
      <c r="J10" s="97">
        <v>60000</v>
      </c>
      <c r="K10" s="97">
        <v>60000</v>
      </c>
      <c r="L10" s="97">
        <v>60000</v>
      </c>
      <c r="M10" s="97">
        <v>60000</v>
      </c>
      <c r="N10" s="97">
        <v>0</v>
      </c>
      <c r="O10" s="97">
        <v>0</v>
      </c>
      <c r="P10" s="97">
        <v>1000</v>
      </c>
      <c r="Q10" s="13">
        <v>0</v>
      </c>
      <c r="R10" s="37">
        <v>0</v>
      </c>
    </row>
    <row r="11" spans="1:18" x14ac:dyDescent="0.2">
      <c r="A11" s="82" t="s">
        <v>34</v>
      </c>
      <c r="B11" s="35"/>
      <c r="C11" s="144">
        <f>E11-[1]Poland!E11</f>
        <v>0</v>
      </c>
      <c r="D11" s="13">
        <f>F11-[1]Poland!F11</f>
        <v>0</v>
      </c>
      <c r="E11" s="125"/>
      <c r="F11" s="13"/>
      <c r="G11" s="97"/>
      <c r="H11" s="97"/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5000</v>
      </c>
      <c r="O11" s="97">
        <v>26000</v>
      </c>
      <c r="P11" s="97">
        <v>10000</v>
      </c>
      <c r="Q11" s="13">
        <v>4000</v>
      </c>
      <c r="R11" s="37">
        <v>5000</v>
      </c>
    </row>
    <row r="12" spans="1:18" x14ac:dyDescent="0.2">
      <c r="A12" s="82" t="s">
        <v>13</v>
      </c>
      <c r="B12" s="35">
        <f t="shared" si="0"/>
        <v>-0.6</v>
      </c>
      <c r="C12" s="144">
        <f>E12-[1]Poland!E12</f>
        <v>-3000</v>
      </c>
      <c r="D12" s="13">
        <f>F12-[1]Poland!F12</f>
        <v>-10000</v>
      </c>
      <c r="E12" s="125">
        <v>2000</v>
      </c>
      <c r="F12" s="13">
        <v>5000</v>
      </c>
      <c r="G12" s="97"/>
      <c r="H12" s="97"/>
      <c r="I12" s="97">
        <v>0</v>
      </c>
      <c r="J12" s="97">
        <v>0</v>
      </c>
      <c r="K12" s="97">
        <v>0</v>
      </c>
      <c r="L12" s="97">
        <v>0</v>
      </c>
      <c r="M12" s="97">
        <v>0</v>
      </c>
      <c r="N12" s="97">
        <v>0</v>
      </c>
      <c r="O12" s="97">
        <v>0</v>
      </c>
      <c r="P12" s="97">
        <v>0</v>
      </c>
      <c r="Q12" s="13">
        <v>0</v>
      </c>
      <c r="R12" s="37">
        <v>0</v>
      </c>
    </row>
    <row r="13" spans="1:18" x14ac:dyDescent="0.2">
      <c r="A13" s="82" t="s">
        <v>19</v>
      </c>
      <c r="B13" s="35"/>
      <c r="C13" s="144">
        <f>E13-[1]Poland!E13</f>
        <v>-2000</v>
      </c>
      <c r="D13" s="13">
        <f>F13-[1]Poland!F13</f>
        <v>0</v>
      </c>
      <c r="E13" s="125">
        <v>0</v>
      </c>
      <c r="F13" s="13"/>
      <c r="G13" s="97"/>
      <c r="H13" s="97"/>
      <c r="I13" s="97">
        <v>0</v>
      </c>
      <c r="J13" s="97">
        <v>0</v>
      </c>
      <c r="K13" s="97">
        <v>0</v>
      </c>
      <c r="L13" s="97">
        <v>0</v>
      </c>
      <c r="M13" s="97">
        <v>0</v>
      </c>
      <c r="N13" s="97">
        <v>0</v>
      </c>
      <c r="O13" s="97">
        <v>3000</v>
      </c>
      <c r="P13" s="97">
        <v>3000</v>
      </c>
      <c r="Q13" s="13">
        <v>1000</v>
      </c>
      <c r="R13" s="37">
        <v>1000</v>
      </c>
    </row>
    <row r="14" spans="1:18" x14ac:dyDescent="0.2">
      <c r="A14" s="82" t="s">
        <v>133</v>
      </c>
      <c r="B14" s="35">
        <f t="shared" si="0"/>
        <v>1</v>
      </c>
      <c r="C14" s="144">
        <f>E14-[1]Poland!E14</f>
        <v>-10000</v>
      </c>
      <c r="D14" s="13">
        <f>F14-[1]Poland!F14</f>
        <v>20000</v>
      </c>
      <c r="E14" s="125">
        <v>40000</v>
      </c>
      <c r="F14" s="13">
        <v>20000</v>
      </c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13"/>
      <c r="R14" s="37"/>
    </row>
    <row r="15" spans="1:18" x14ac:dyDescent="0.2">
      <c r="A15" s="82" t="s">
        <v>89</v>
      </c>
      <c r="B15" s="35">
        <f t="shared" si="0"/>
        <v>-0.68</v>
      </c>
      <c r="C15" s="144">
        <f>E15-[1]Poland!E15</f>
        <v>-20000</v>
      </c>
      <c r="D15" s="13">
        <f>F15-[1]Poland!F15</f>
        <v>-5000</v>
      </c>
      <c r="E15" s="125">
        <v>40000</v>
      </c>
      <c r="F15" s="13">
        <v>125000</v>
      </c>
      <c r="G15" s="97">
        <v>35000</v>
      </c>
      <c r="H15" s="97">
        <v>70000</v>
      </c>
      <c r="I15" s="97">
        <v>70000</v>
      </c>
      <c r="J15" s="97">
        <v>65000</v>
      </c>
      <c r="K15" s="97">
        <v>70000</v>
      </c>
      <c r="L15" s="97">
        <v>50000</v>
      </c>
      <c r="M15" s="97">
        <v>50000</v>
      </c>
      <c r="N15" s="97">
        <v>20000</v>
      </c>
      <c r="O15" s="97">
        <v>20000</v>
      </c>
      <c r="P15" s="97">
        <v>20000</v>
      </c>
      <c r="Q15" s="13">
        <v>5000</v>
      </c>
      <c r="R15" s="37">
        <v>10000</v>
      </c>
    </row>
    <row r="16" spans="1:18" x14ac:dyDescent="0.2">
      <c r="A16" s="82" t="s">
        <v>35</v>
      </c>
      <c r="B16" s="35"/>
      <c r="C16" s="144">
        <f>E16-[1]Poland!E16</f>
        <v>0</v>
      </c>
      <c r="D16" s="13">
        <f>F16-[1]Poland!F16</f>
        <v>-35000</v>
      </c>
      <c r="E16" s="125"/>
      <c r="F16" s="13"/>
      <c r="G16" s="97"/>
      <c r="H16" s="97"/>
      <c r="I16" s="97">
        <v>0</v>
      </c>
      <c r="J16" s="97">
        <v>0</v>
      </c>
      <c r="K16" s="97"/>
      <c r="L16" s="97"/>
      <c r="M16" s="97">
        <v>0</v>
      </c>
      <c r="N16" s="97">
        <v>0</v>
      </c>
      <c r="O16" s="97">
        <v>0</v>
      </c>
      <c r="P16" s="97">
        <v>1000</v>
      </c>
      <c r="Q16" s="13">
        <v>0</v>
      </c>
      <c r="R16" s="37">
        <v>0</v>
      </c>
    </row>
    <row r="17" spans="1:19" ht="13.5" thickBot="1" x14ac:dyDescent="0.25">
      <c r="A17" s="28" t="s">
        <v>59</v>
      </c>
      <c r="B17" s="35">
        <f t="shared" si="0"/>
        <v>-0.65</v>
      </c>
      <c r="C17" s="144">
        <f>E17-[1]Poland!E17</f>
        <v>-15000</v>
      </c>
      <c r="D17" s="13">
        <f>F17-[1]Poland!F17</f>
        <v>-60000</v>
      </c>
      <c r="E17" s="125">
        <v>35000</v>
      </c>
      <c r="F17" s="13">
        <v>100000</v>
      </c>
      <c r="G17" s="97">
        <v>4000</v>
      </c>
      <c r="H17" s="97">
        <v>75000</v>
      </c>
      <c r="I17" s="97">
        <v>85000</v>
      </c>
      <c r="J17" s="97">
        <v>60000</v>
      </c>
      <c r="K17" s="97">
        <v>30000</v>
      </c>
      <c r="L17" s="97">
        <v>10000</v>
      </c>
      <c r="M17" s="97">
        <v>20000</v>
      </c>
      <c r="N17" s="97">
        <v>10000</v>
      </c>
      <c r="O17" s="97">
        <v>10000</v>
      </c>
      <c r="P17" s="97">
        <v>5000</v>
      </c>
      <c r="Q17" s="13">
        <v>15000</v>
      </c>
      <c r="R17" s="37">
        <v>6000</v>
      </c>
    </row>
    <row r="18" spans="1:19" s="95" customFormat="1" ht="13.5" thickBot="1" x14ac:dyDescent="0.25">
      <c r="A18" s="151" t="s">
        <v>23</v>
      </c>
      <c r="B18" s="160">
        <f t="shared" si="0"/>
        <v>-0.50526315789473686</v>
      </c>
      <c r="C18" s="171">
        <f>E18-[1]Poland!E18</f>
        <v>-143000</v>
      </c>
      <c r="D18" s="106">
        <f>F18-[1]Poland!F18</f>
        <v>-275000</v>
      </c>
      <c r="E18" s="58">
        <f>SUM(E2:E17)</f>
        <v>329000</v>
      </c>
      <c r="F18" s="106">
        <f>SUM(F2:F17)</f>
        <v>665000</v>
      </c>
      <c r="G18" s="106">
        <f>SUM(G2:G17)</f>
        <v>286000</v>
      </c>
      <c r="H18" s="106">
        <v>580000</v>
      </c>
      <c r="I18" s="106">
        <v>595000</v>
      </c>
      <c r="J18" s="106">
        <f>SUM(J2:J17)</f>
        <v>502000</v>
      </c>
      <c r="K18" s="106">
        <f>SUM(K2:K17)</f>
        <v>495000</v>
      </c>
      <c r="L18" s="106">
        <f>SUM(L2:L17)</f>
        <v>400000</v>
      </c>
      <c r="M18" s="106">
        <f t="shared" ref="M18:R18" si="1">SUM(M2:M17)</f>
        <v>385000</v>
      </c>
      <c r="N18" s="106">
        <f t="shared" si="1"/>
        <v>130000</v>
      </c>
      <c r="O18" s="106">
        <f t="shared" si="1"/>
        <v>250000</v>
      </c>
      <c r="P18" s="106">
        <f t="shared" si="1"/>
        <v>165000</v>
      </c>
      <c r="Q18" s="106">
        <f t="shared" si="1"/>
        <v>80000</v>
      </c>
      <c r="R18" s="152">
        <f t="shared" si="1"/>
        <v>110000</v>
      </c>
    </row>
    <row r="19" spans="1:19" s="9" customFormat="1" x14ac:dyDescent="0.2">
      <c r="B19" s="44"/>
      <c r="C19" s="44"/>
      <c r="D19" s="44"/>
      <c r="E19" s="44"/>
      <c r="F19" s="44"/>
      <c r="G19" s="44"/>
      <c r="H19" s="44"/>
      <c r="I19" s="12"/>
      <c r="J19" s="12"/>
      <c r="K19" s="12"/>
      <c r="L19" s="12"/>
      <c r="M19" s="12"/>
      <c r="N19" s="12"/>
      <c r="O19" s="12"/>
      <c r="P19" s="12"/>
    </row>
    <row r="20" spans="1:19" s="9" customFormat="1" ht="13.5" thickBot="1" x14ac:dyDescent="0.25">
      <c r="B20" s="44"/>
      <c r="C20" s="44"/>
      <c r="D20" s="44"/>
      <c r="E20" s="44"/>
      <c r="F20" s="44"/>
      <c r="G20" s="44"/>
      <c r="H20" s="44"/>
      <c r="I20" s="12"/>
      <c r="J20" s="12"/>
      <c r="K20" s="12"/>
      <c r="L20" s="12"/>
      <c r="M20" s="12"/>
      <c r="N20" s="12"/>
      <c r="O20" s="12"/>
      <c r="P20" s="12"/>
    </row>
    <row r="21" spans="1:19" s="16" customFormat="1" ht="13.5" thickBot="1" x14ac:dyDescent="0.25">
      <c r="A21" s="31" t="s">
        <v>25</v>
      </c>
      <c r="B21" s="32" t="s">
        <v>174</v>
      </c>
      <c r="C21" s="62" t="s">
        <v>173</v>
      </c>
      <c r="D21" s="96" t="s">
        <v>168</v>
      </c>
      <c r="E21" s="128">
        <v>43922</v>
      </c>
      <c r="F21" s="136">
        <v>43556</v>
      </c>
      <c r="G21" s="33">
        <v>42826</v>
      </c>
      <c r="H21" s="33">
        <v>42826</v>
      </c>
      <c r="I21" s="33">
        <v>42461</v>
      </c>
      <c r="J21" s="33">
        <v>42095</v>
      </c>
      <c r="K21" s="33">
        <v>41730</v>
      </c>
      <c r="L21" s="33">
        <v>41365</v>
      </c>
      <c r="M21" s="33">
        <v>41000</v>
      </c>
      <c r="N21" s="33">
        <v>40634</v>
      </c>
      <c r="O21" s="33">
        <v>40269</v>
      </c>
      <c r="P21" s="33">
        <v>39904</v>
      </c>
      <c r="Q21" s="33">
        <v>39539</v>
      </c>
      <c r="R21" s="34">
        <v>39173</v>
      </c>
    </row>
    <row r="22" spans="1:19" x14ac:dyDescent="0.2">
      <c r="A22" s="27" t="s">
        <v>7</v>
      </c>
      <c r="B22" s="35"/>
      <c r="C22" s="144">
        <f>E22-[1]Poland!E22</f>
        <v>0</v>
      </c>
      <c r="D22" s="13">
        <f>G22-[1]Poland!F22</f>
        <v>-2000</v>
      </c>
      <c r="E22" s="125">
        <v>0</v>
      </c>
      <c r="F22" s="13">
        <v>0</v>
      </c>
      <c r="G22" s="13">
        <v>0</v>
      </c>
      <c r="H22" s="13">
        <v>0</v>
      </c>
      <c r="I22" s="13">
        <v>1000</v>
      </c>
      <c r="J22" s="13">
        <v>0</v>
      </c>
      <c r="K22" s="13">
        <v>2000</v>
      </c>
      <c r="L22" s="13">
        <v>0</v>
      </c>
      <c r="M22" s="13">
        <v>0</v>
      </c>
      <c r="N22" s="13">
        <v>0</v>
      </c>
      <c r="O22" s="13">
        <v>4000</v>
      </c>
      <c r="P22" s="13">
        <v>1000</v>
      </c>
      <c r="Q22" s="13">
        <v>0</v>
      </c>
      <c r="R22" s="37">
        <v>1500</v>
      </c>
    </row>
    <row r="23" spans="1:19" x14ac:dyDescent="0.2">
      <c r="A23" s="53" t="s">
        <v>93</v>
      </c>
      <c r="B23" s="35"/>
      <c r="C23" s="144">
        <f>E23-[1]Poland!E23</f>
        <v>0</v>
      </c>
      <c r="D23" s="13">
        <f>G23-[1]Poland!F23</f>
        <v>0</v>
      </c>
      <c r="E23" s="125">
        <v>0</v>
      </c>
      <c r="F23" s="13">
        <v>0</v>
      </c>
      <c r="G23" s="13">
        <v>0</v>
      </c>
      <c r="H23" s="13">
        <v>0</v>
      </c>
      <c r="I23" s="13"/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37">
        <v>0</v>
      </c>
    </row>
    <row r="24" spans="1:19" ht="13.5" thickBot="1" x14ac:dyDescent="0.25">
      <c r="A24" s="27" t="s">
        <v>59</v>
      </c>
      <c r="B24" s="35"/>
      <c r="C24" s="144">
        <f>E24-[1]Poland!E24</f>
        <v>0</v>
      </c>
      <c r="D24" s="13">
        <f>G24-[1]Poland!F24</f>
        <v>0</v>
      </c>
      <c r="E24" s="125">
        <v>0</v>
      </c>
      <c r="F24" s="13">
        <v>0</v>
      </c>
      <c r="G24" s="13">
        <v>0</v>
      </c>
      <c r="H24" s="13">
        <v>0</v>
      </c>
      <c r="I24" s="13"/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37">
        <v>500</v>
      </c>
    </row>
    <row r="25" spans="1:19" ht="13.5" thickBot="1" x14ac:dyDescent="0.25">
      <c r="A25" s="31" t="s">
        <v>23</v>
      </c>
      <c r="B25" s="130"/>
      <c r="C25" s="171">
        <f>E25-[1]Poland!E25</f>
        <v>0</v>
      </c>
      <c r="D25" s="106">
        <f>G25-[1]Poland!F25</f>
        <v>-2000</v>
      </c>
      <c r="E25" s="58">
        <f>SUM(E22:E24)</f>
        <v>0</v>
      </c>
      <c r="F25" s="106">
        <v>0</v>
      </c>
      <c r="G25" s="106">
        <f>SUM(G22:G24)</f>
        <v>0</v>
      </c>
      <c r="H25" s="106">
        <f>SUM(H22:H24)</f>
        <v>0</v>
      </c>
      <c r="I25" s="106">
        <v>1000</v>
      </c>
      <c r="J25" s="106">
        <f>SUM(J22:J24)</f>
        <v>0</v>
      </c>
      <c r="K25" s="106">
        <f>SUM(K22:K24)</f>
        <v>2000</v>
      </c>
      <c r="L25" s="106">
        <f>SUM(L22:L24)</f>
        <v>0</v>
      </c>
      <c r="M25" s="106">
        <f t="shared" ref="M25:R25" si="2">SUM(M22:M24)</f>
        <v>0</v>
      </c>
      <c r="N25" s="106">
        <f t="shared" si="2"/>
        <v>0</v>
      </c>
      <c r="O25" s="106">
        <f t="shared" si="2"/>
        <v>4000</v>
      </c>
      <c r="P25" s="106">
        <f t="shared" si="2"/>
        <v>1000</v>
      </c>
      <c r="Q25" s="106">
        <f t="shared" si="2"/>
        <v>0</v>
      </c>
      <c r="R25" s="152">
        <f t="shared" si="2"/>
        <v>2000</v>
      </c>
    </row>
    <row r="27" spans="1:19" ht="15.75" x14ac:dyDescent="0.25">
      <c r="A27" s="149" t="s">
        <v>169</v>
      </c>
    </row>
    <row r="28" spans="1:19" ht="15.75" x14ac:dyDescent="0.25">
      <c r="A28" s="149" t="s">
        <v>170</v>
      </c>
    </row>
    <row r="32" spans="1:19" ht="18" x14ac:dyDescent="0.25">
      <c r="Q32" s="5"/>
      <c r="R32" s="1"/>
      <c r="S32" s="1"/>
    </row>
    <row r="33" spans="17:19" ht="18" x14ac:dyDescent="0.25">
      <c r="Q33" s="5"/>
      <c r="R33" s="1"/>
      <c r="S33" s="1"/>
    </row>
    <row r="34" spans="17:19" ht="18" x14ac:dyDescent="0.25">
      <c r="Q34" s="5"/>
      <c r="R34" s="1"/>
      <c r="S34" s="1"/>
    </row>
    <row r="35" spans="17:19" ht="18" x14ac:dyDescent="0.25">
      <c r="Q35" s="5"/>
      <c r="R35" s="1"/>
      <c r="S35" s="1"/>
    </row>
    <row r="36" spans="17:19" ht="18" x14ac:dyDescent="0.25">
      <c r="Q36" s="5"/>
      <c r="R36" s="1"/>
      <c r="S36" s="1"/>
    </row>
    <row r="37" spans="17:19" ht="18" x14ac:dyDescent="0.25">
      <c r="Q37" s="5"/>
      <c r="R37" s="1"/>
      <c r="S37" s="1"/>
    </row>
    <row r="38" spans="17:19" ht="18" x14ac:dyDescent="0.25">
      <c r="Q38" s="5"/>
      <c r="R38" s="1"/>
      <c r="S38" s="1"/>
    </row>
    <row r="39" spans="17:19" ht="18" x14ac:dyDescent="0.25">
      <c r="Q39" s="5"/>
      <c r="R39" s="1"/>
      <c r="S39" s="1"/>
    </row>
    <row r="40" spans="17:19" ht="18" x14ac:dyDescent="0.25">
      <c r="Q40" s="5"/>
      <c r="R40" s="1"/>
      <c r="S40" s="1"/>
    </row>
    <row r="41" spans="17:19" ht="18" x14ac:dyDescent="0.25">
      <c r="Q41" s="5"/>
      <c r="R41" s="1"/>
      <c r="S41" s="1"/>
    </row>
    <row r="42" spans="17:19" ht="18" x14ac:dyDescent="0.25">
      <c r="Q42" s="6"/>
      <c r="R42" s="1"/>
      <c r="S42" s="1"/>
    </row>
    <row r="43" spans="17:19" ht="18.75" x14ac:dyDescent="0.3">
      <c r="Q43" s="7"/>
      <c r="R43" s="2"/>
      <c r="S43" s="2"/>
    </row>
  </sheetData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zoomScale="60" zoomScaleNormal="60" workbookViewId="0">
      <selection activeCell="G26" sqref="G26"/>
    </sheetView>
  </sheetViews>
  <sheetFormatPr defaultRowHeight="12.75" x14ac:dyDescent="0.2"/>
  <cols>
    <col min="1" max="1" width="24.42578125" customWidth="1"/>
    <col min="2" max="2" width="11" bestFit="1" customWidth="1"/>
    <col min="3" max="3" width="11" customWidth="1"/>
    <col min="4" max="4" width="11.5703125" style="9" bestFit="1" customWidth="1"/>
    <col min="5" max="5" width="11.5703125" style="9" customWidth="1"/>
    <col min="6" max="6" width="11.5703125" customWidth="1"/>
    <col min="7" max="7" width="11.5703125" style="9" bestFit="1" customWidth="1"/>
    <col min="8" max="8" width="10.28515625" style="9" customWidth="1"/>
    <col min="9" max="16" width="10.85546875" customWidth="1"/>
  </cols>
  <sheetData>
    <row r="1" spans="1:16" s="16" customFormat="1" ht="13.5" thickBot="1" x14ac:dyDescent="0.25">
      <c r="A1" s="52" t="s">
        <v>91</v>
      </c>
      <c r="B1" s="32" t="s">
        <v>174</v>
      </c>
      <c r="C1" s="62" t="s">
        <v>173</v>
      </c>
      <c r="D1" s="96" t="s">
        <v>168</v>
      </c>
      <c r="E1" s="128">
        <v>43922</v>
      </c>
      <c r="F1" s="136">
        <v>43556</v>
      </c>
      <c r="G1" s="136">
        <v>43191</v>
      </c>
      <c r="H1" s="33">
        <v>42826</v>
      </c>
      <c r="I1" s="33">
        <v>42461</v>
      </c>
      <c r="J1" s="33">
        <v>42095</v>
      </c>
      <c r="K1" s="33">
        <v>41730</v>
      </c>
      <c r="L1" s="33">
        <v>41365</v>
      </c>
      <c r="M1" s="33">
        <v>41000</v>
      </c>
      <c r="N1" s="33">
        <v>40634</v>
      </c>
      <c r="O1" s="33">
        <v>40269</v>
      </c>
      <c r="P1" s="50">
        <v>39904</v>
      </c>
    </row>
    <row r="2" spans="1:16" x14ac:dyDescent="0.2">
      <c r="A2" s="53" t="s">
        <v>9</v>
      </c>
      <c r="B2" s="156"/>
      <c r="C2" s="131"/>
      <c r="D2" s="137"/>
      <c r="E2" s="141"/>
      <c r="F2" s="137"/>
      <c r="G2" s="84"/>
      <c r="H2" s="84"/>
      <c r="I2" s="84"/>
      <c r="J2" s="84"/>
      <c r="K2" s="84"/>
      <c r="L2" s="84"/>
      <c r="M2" s="84"/>
      <c r="N2" s="84"/>
      <c r="O2" s="84"/>
      <c r="P2" s="86"/>
    </row>
    <row r="3" spans="1:16" x14ac:dyDescent="0.2">
      <c r="A3" s="53" t="s">
        <v>149</v>
      </c>
      <c r="B3" s="156"/>
      <c r="C3" s="131"/>
      <c r="D3" s="137"/>
      <c r="E3" s="141"/>
      <c r="F3" s="137"/>
      <c r="G3" s="84"/>
      <c r="H3" s="84"/>
      <c r="I3" s="84"/>
      <c r="J3" s="84"/>
      <c r="K3" s="84"/>
      <c r="L3" s="84"/>
      <c r="M3" s="84"/>
      <c r="N3" s="84"/>
      <c r="O3" s="84"/>
      <c r="P3" s="86"/>
    </row>
    <row r="4" spans="1:16" x14ac:dyDescent="0.2">
      <c r="A4" s="53" t="s">
        <v>27</v>
      </c>
      <c r="B4" s="156"/>
      <c r="C4" s="131"/>
      <c r="D4" s="137"/>
      <c r="E4" s="141"/>
      <c r="F4" s="137"/>
      <c r="G4" s="84"/>
      <c r="H4" s="84"/>
      <c r="I4" s="84"/>
      <c r="J4" s="84"/>
      <c r="K4" s="84"/>
      <c r="L4" s="84"/>
      <c r="M4" s="84"/>
      <c r="N4" s="84"/>
      <c r="O4" s="84"/>
      <c r="P4" s="86"/>
    </row>
    <row r="5" spans="1:16" x14ac:dyDescent="0.2">
      <c r="A5" s="53" t="s">
        <v>26</v>
      </c>
      <c r="B5" s="156"/>
      <c r="C5" s="131"/>
      <c r="D5" s="137"/>
      <c r="E5" s="141"/>
      <c r="F5" s="137"/>
      <c r="G5" s="84"/>
      <c r="H5" s="84"/>
      <c r="I5" s="84"/>
      <c r="J5" s="84"/>
      <c r="K5" s="84"/>
      <c r="L5" s="84"/>
      <c r="M5" s="84"/>
      <c r="N5" s="84"/>
      <c r="O5" s="84"/>
      <c r="P5" s="86"/>
    </row>
    <row r="6" spans="1:16" x14ac:dyDescent="0.2">
      <c r="A6" s="53" t="s">
        <v>19</v>
      </c>
      <c r="B6" s="156"/>
      <c r="C6" s="131"/>
      <c r="D6" s="137"/>
      <c r="E6" s="141"/>
      <c r="F6" s="137"/>
      <c r="G6" s="84"/>
      <c r="H6" s="84"/>
      <c r="I6" s="84"/>
      <c r="J6" s="84"/>
      <c r="K6" s="84"/>
      <c r="L6" s="84"/>
      <c r="M6" s="84"/>
      <c r="N6" s="84"/>
      <c r="O6" s="84"/>
      <c r="P6" s="86"/>
    </row>
    <row r="7" spans="1:16" x14ac:dyDescent="0.2">
      <c r="A7" s="53" t="s">
        <v>88</v>
      </c>
      <c r="B7" s="156"/>
      <c r="C7" s="131"/>
      <c r="D7" s="137"/>
      <c r="E7" s="141"/>
      <c r="F7" s="137"/>
      <c r="G7" s="84"/>
      <c r="H7" s="84"/>
      <c r="I7" s="84"/>
      <c r="J7" s="84"/>
      <c r="K7" s="84"/>
      <c r="L7" s="84"/>
      <c r="M7" s="84"/>
      <c r="N7" s="84"/>
      <c r="O7" s="84"/>
      <c r="P7" s="86"/>
    </row>
    <row r="8" spans="1:16" ht="13.5" thickBot="1" x14ac:dyDescent="0.25">
      <c r="A8" s="53" t="s">
        <v>6</v>
      </c>
      <c r="B8" s="156"/>
      <c r="C8" s="131"/>
      <c r="D8" s="137"/>
      <c r="E8" s="141"/>
      <c r="F8" s="137"/>
      <c r="G8" s="84"/>
      <c r="H8" s="84"/>
      <c r="I8" s="84"/>
      <c r="J8" s="84"/>
      <c r="K8" s="84"/>
      <c r="L8" s="84"/>
      <c r="M8" s="84"/>
      <c r="N8" s="84"/>
      <c r="O8" s="84"/>
      <c r="P8" s="86"/>
    </row>
    <row r="9" spans="1:16" ht="13.5" thickBot="1" x14ac:dyDescent="0.25">
      <c r="A9" s="52" t="s">
        <v>92</v>
      </c>
      <c r="B9" s="157"/>
      <c r="C9" s="158"/>
      <c r="D9" s="138"/>
      <c r="E9" s="142"/>
      <c r="F9" s="138"/>
      <c r="G9" s="106"/>
      <c r="H9" s="106"/>
      <c r="I9" s="106"/>
      <c r="J9" s="106"/>
      <c r="K9" s="106"/>
      <c r="L9" s="106"/>
      <c r="M9" s="106"/>
      <c r="N9" s="106"/>
      <c r="O9" s="106"/>
      <c r="P9" s="111"/>
    </row>
    <row r="10" spans="1:16" x14ac:dyDescent="0.2">
      <c r="F10" s="9"/>
      <c r="I10" s="9"/>
      <c r="J10" s="9"/>
      <c r="K10" s="9"/>
      <c r="L10" s="9"/>
      <c r="M10" s="9"/>
      <c r="N10" s="9"/>
      <c r="O10" s="9"/>
      <c r="P10" s="9"/>
    </row>
    <row r="11" spans="1:16" ht="13.5" thickBot="1" x14ac:dyDescent="0.25">
      <c r="B11" s="3"/>
      <c r="C11" s="3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</row>
    <row r="12" spans="1:16" ht="13.5" thickBot="1" x14ac:dyDescent="0.25">
      <c r="A12" s="64" t="s">
        <v>91</v>
      </c>
      <c r="B12" s="32" t="s">
        <v>174</v>
      </c>
      <c r="C12" s="62" t="s">
        <v>173</v>
      </c>
      <c r="D12" s="96" t="s">
        <v>168</v>
      </c>
      <c r="E12" s="128">
        <v>43922</v>
      </c>
      <c r="F12" s="136">
        <v>43556</v>
      </c>
      <c r="G12" s="136">
        <v>43191</v>
      </c>
      <c r="H12" s="33">
        <v>42826</v>
      </c>
      <c r="I12" s="122">
        <v>42461</v>
      </c>
      <c r="J12" s="122">
        <v>42095</v>
      </c>
      <c r="K12" s="122">
        <v>41730</v>
      </c>
      <c r="L12" s="122">
        <v>41365</v>
      </c>
      <c r="M12" s="122">
        <v>41000</v>
      </c>
      <c r="N12" s="122">
        <v>40634</v>
      </c>
      <c r="O12" s="122">
        <v>40269</v>
      </c>
      <c r="P12" s="123">
        <v>39904</v>
      </c>
    </row>
    <row r="13" spans="1:16" ht="13.5" thickBot="1" x14ac:dyDescent="0.25">
      <c r="A13" s="66" t="s">
        <v>147</v>
      </c>
      <c r="B13" s="67">
        <f>(E13-F13)/F13</f>
        <v>-1</v>
      </c>
      <c r="C13" s="148"/>
      <c r="D13" s="139"/>
      <c r="E13" s="154"/>
      <c r="F13" s="159">
        <v>24870</v>
      </c>
      <c r="G13" s="89"/>
      <c r="H13" s="89"/>
      <c r="I13" s="89"/>
      <c r="J13" s="89"/>
      <c r="K13" s="89"/>
      <c r="L13" s="89"/>
      <c r="M13" s="89"/>
      <c r="N13" s="89">
        <v>7940</v>
      </c>
      <c r="O13" s="89"/>
      <c r="P13" s="91"/>
    </row>
    <row r="14" spans="1:16" ht="13.5" thickBot="1" x14ac:dyDescent="0.25">
      <c r="A14" s="64" t="s">
        <v>92</v>
      </c>
      <c r="B14" s="110">
        <f>(E14-F14)/F14</f>
        <v>-1</v>
      </c>
      <c r="C14" s="150"/>
      <c r="D14" s="140"/>
      <c r="E14" s="155"/>
      <c r="F14" s="106">
        <v>24870</v>
      </c>
      <c r="G14" s="102"/>
      <c r="H14" s="102"/>
      <c r="I14" s="102"/>
      <c r="J14" s="102"/>
      <c r="K14" s="102"/>
      <c r="L14" s="102"/>
      <c r="M14" s="102"/>
      <c r="N14" s="102">
        <f>SUM(N13:N13)</f>
        <v>7940</v>
      </c>
      <c r="O14" s="102"/>
      <c r="P14" s="116"/>
    </row>
    <row r="15" spans="1:16" x14ac:dyDescent="0.2">
      <c r="A15" s="3" t="s">
        <v>163</v>
      </c>
    </row>
    <row r="17" spans="1:8" s="9" customFormat="1" x14ac:dyDescent="0.2"/>
    <row r="18" spans="1:8" s="9" customFormat="1" x14ac:dyDescent="0.2"/>
    <row r="19" spans="1:8" s="9" customFormat="1" x14ac:dyDescent="0.2"/>
    <row r="20" spans="1:8" s="16" customFormat="1" x14ac:dyDescent="0.2">
      <c r="D20" s="12"/>
      <c r="E20" s="12"/>
      <c r="G20" s="12"/>
      <c r="H20" s="12"/>
    </row>
    <row r="31" spans="1:8" x14ac:dyDescent="0.2">
      <c r="A31" s="1"/>
    </row>
    <row r="32" spans="1:8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  <row r="39" spans="1:1" x14ac:dyDescent="0.2">
      <c r="A39" s="1"/>
    </row>
    <row r="40" spans="1:1" x14ac:dyDescent="0.2">
      <c r="A40" s="1"/>
    </row>
    <row r="41" spans="1:1" x14ac:dyDescent="0.2">
      <c r="A41" s="1"/>
    </row>
    <row r="42" spans="1:1" x14ac:dyDescent="0.2">
      <c r="A42" s="2"/>
    </row>
  </sheetData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zoomScale="77" zoomScaleNormal="77" workbookViewId="0">
      <selection activeCell="B15" sqref="B15"/>
    </sheetView>
  </sheetViews>
  <sheetFormatPr defaultRowHeight="12.75" x14ac:dyDescent="0.2"/>
  <cols>
    <col min="1" max="1" width="29.28515625" customWidth="1"/>
    <col min="2" max="2" width="10.7109375" customWidth="1"/>
    <col min="3" max="3" width="11.5703125" bestFit="1" customWidth="1"/>
    <col min="4" max="4" width="11.5703125" style="9" bestFit="1" customWidth="1"/>
    <col min="5" max="6" width="11.5703125" style="9" customWidth="1"/>
    <col min="7" max="7" width="11.85546875" style="9" customWidth="1"/>
    <col min="8" max="8" width="10.7109375" customWidth="1"/>
    <col min="9" max="16" width="10.140625" style="12" bestFit="1" customWidth="1"/>
    <col min="17" max="18" width="10.140625" bestFit="1" customWidth="1"/>
  </cols>
  <sheetData>
    <row r="1" spans="1:22" s="16" customFormat="1" ht="13.5" thickBot="1" x14ac:dyDescent="0.25">
      <c r="A1" s="31" t="s">
        <v>24</v>
      </c>
      <c r="B1" s="32" t="s">
        <v>174</v>
      </c>
      <c r="C1" s="62" t="s">
        <v>173</v>
      </c>
      <c r="D1" s="96" t="s">
        <v>168</v>
      </c>
      <c r="E1" s="128">
        <v>43922</v>
      </c>
      <c r="F1" s="136">
        <v>43556</v>
      </c>
      <c r="G1" s="136">
        <v>43191</v>
      </c>
      <c r="H1" s="33">
        <v>42826</v>
      </c>
      <c r="I1" s="33">
        <v>42461</v>
      </c>
      <c r="J1" s="33">
        <v>42095</v>
      </c>
      <c r="K1" s="33">
        <v>41730</v>
      </c>
      <c r="L1" s="33">
        <v>41365</v>
      </c>
      <c r="M1" s="33">
        <v>41000</v>
      </c>
      <c r="N1" s="33">
        <v>40634</v>
      </c>
      <c r="O1" s="33">
        <v>40269</v>
      </c>
      <c r="P1" s="33">
        <v>39904</v>
      </c>
      <c r="Q1" s="33">
        <v>39539</v>
      </c>
      <c r="R1" s="34">
        <v>39173</v>
      </c>
    </row>
    <row r="2" spans="1:22" x14ac:dyDescent="0.2">
      <c r="A2" s="27" t="s">
        <v>108</v>
      </c>
      <c r="B2" s="35">
        <f>(E2-F2)/F2</f>
        <v>-7.7566319336030032E-2</v>
      </c>
      <c r="C2" s="144">
        <f>E2-[1]Spain!E2</f>
        <v>-3830.495080113571</v>
      </c>
      <c r="D2" s="13">
        <f>F2-[1]Spain!F2</f>
        <v>-3872</v>
      </c>
      <c r="E2" s="125">
        <v>12623.504919886429</v>
      </c>
      <c r="F2" s="13">
        <v>13685</v>
      </c>
      <c r="G2" s="13">
        <v>8049</v>
      </c>
      <c r="H2" s="13">
        <v>12353.476822938994</v>
      </c>
      <c r="I2" s="13">
        <v>9159.9221072480686</v>
      </c>
      <c r="J2" s="13">
        <v>6593.4494254420752</v>
      </c>
      <c r="K2" s="13">
        <v>9089.708825431735</v>
      </c>
      <c r="L2" s="13">
        <v>2973.3180716023885</v>
      </c>
      <c r="M2" s="13">
        <v>4926.9641789036459</v>
      </c>
      <c r="N2" s="13">
        <v>4965</v>
      </c>
      <c r="O2" s="13">
        <v>3662.8560263741479</v>
      </c>
      <c r="P2" s="13">
        <v>5371.9196389458839</v>
      </c>
      <c r="Q2" s="13">
        <v>5907</v>
      </c>
      <c r="R2" s="37">
        <v>1714</v>
      </c>
    </row>
    <row r="3" spans="1:22" x14ac:dyDescent="0.2">
      <c r="A3" s="27" t="s">
        <v>109</v>
      </c>
      <c r="B3" s="35">
        <f t="shared" ref="B3:B8" si="0">(E3-F3)/F3</f>
        <v>-0.72053339435020025</v>
      </c>
      <c r="C3" s="144">
        <f>E3-[1]Spain!E3</f>
        <v>-2272.9259817444777</v>
      </c>
      <c r="D3" s="13">
        <f>F3-[1]Spain!F3</f>
        <v>-2257</v>
      </c>
      <c r="E3" s="125">
        <v>527.07401825552222</v>
      </c>
      <c r="F3" s="13">
        <v>1886</v>
      </c>
      <c r="G3" s="13">
        <v>411</v>
      </c>
      <c r="H3" s="13">
        <v>1843.6643367313832</v>
      </c>
      <c r="I3" s="13">
        <v>168.6396309084158</v>
      </c>
      <c r="J3" s="13">
        <v>1874.4850692532573</v>
      </c>
      <c r="K3" s="13">
        <v>86.666772737025809</v>
      </c>
      <c r="L3" s="13">
        <v>0</v>
      </c>
      <c r="M3" s="13">
        <v>39.728056577929252</v>
      </c>
      <c r="N3" s="13">
        <v>632</v>
      </c>
      <c r="O3" s="13">
        <v>461.90494654432018</v>
      </c>
      <c r="P3" s="13">
        <v>1071.934335712263</v>
      </c>
      <c r="Q3" s="13">
        <v>1103</v>
      </c>
      <c r="R3" s="37">
        <v>251</v>
      </c>
    </row>
    <row r="4" spans="1:22" x14ac:dyDescent="0.2">
      <c r="A4" s="27" t="s">
        <v>110</v>
      </c>
      <c r="B4" s="35">
        <f t="shared" si="0"/>
        <v>0.4162713902219628</v>
      </c>
      <c r="C4" s="144">
        <f>E4-[1]Spain!E4</f>
        <v>-25787.048977100581</v>
      </c>
      <c r="D4" s="13">
        <f>F4-[1]Spain!F4</f>
        <v>-19482</v>
      </c>
      <c r="E4" s="125">
        <v>97811.951022899419</v>
      </c>
      <c r="F4" s="13">
        <v>69063</v>
      </c>
      <c r="G4" s="13">
        <v>59446</v>
      </c>
      <c r="H4" s="13">
        <v>90766.98311930777</v>
      </c>
      <c r="I4" s="13">
        <v>59720.765304653556</v>
      </c>
      <c r="J4" s="13">
        <v>76319.571764948763</v>
      </c>
      <c r="K4" s="13">
        <v>68690.554970931975</v>
      </c>
      <c r="L4" s="13">
        <v>42646.577633529509</v>
      </c>
      <c r="M4" s="13">
        <v>76693.33218499599</v>
      </c>
      <c r="N4" s="13">
        <v>70768</v>
      </c>
      <c r="O4" s="13">
        <v>58498.115556001947</v>
      </c>
      <c r="P4" s="13">
        <v>82998.669903147631</v>
      </c>
      <c r="Q4" s="13">
        <v>60475</v>
      </c>
      <c r="R4" s="37">
        <v>53537</v>
      </c>
    </row>
    <row r="5" spans="1:22" x14ac:dyDescent="0.2">
      <c r="A5" s="27" t="s">
        <v>17</v>
      </c>
      <c r="B5" s="35">
        <f t="shared" si="0"/>
        <v>0.10491530119778754</v>
      </c>
      <c r="C5" s="144">
        <f>E5-[1]Spain!E5</f>
        <v>-3389.641323093103</v>
      </c>
      <c r="D5" s="13">
        <f>F5-[1]Spain!F5</f>
        <v>-2895</v>
      </c>
      <c r="E5" s="125">
        <v>12736.358676906897</v>
      </c>
      <c r="F5" s="13">
        <v>11527</v>
      </c>
      <c r="G5" s="13">
        <v>8934</v>
      </c>
      <c r="H5" s="13">
        <v>8954.282822777006</v>
      </c>
      <c r="I5" s="13">
        <v>8960.2115139537818</v>
      </c>
      <c r="J5" s="13">
        <v>6313.4166131976026</v>
      </c>
      <c r="K5" s="13">
        <v>5480.9893248809549</v>
      </c>
      <c r="L5" s="13">
        <v>3725.9975304055411</v>
      </c>
      <c r="M5" s="13">
        <v>4575.6489829261354</v>
      </c>
      <c r="N5" s="13">
        <v>1087</v>
      </c>
      <c r="O5" s="13">
        <v>4224.7489778415165</v>
      </c>
      <c r="P5" s="13">
        <v>3163.5823414180882</v>
      </c>
      <c r="Q5" s="13">
        <v>1418</v>
      </c>
      <c r="R5" s="37">
        <v>569</v>
      </c>
      <c r="U5" s="13"/>
      <c r="V5" s="46"/>
    </row>
    <row r="6" spans="1:22" x14ac:dyDescent="0.2">
      <c r="A6" s="29" t="s">
        <v>19</v>
      </c>
      <c r="B6" s="35">
        <f t="shared" si="0"/>
        <v>0.20815320075465926</v>
      </c>
      <c r="C6" s="144">
        <f>E6-[1]Spain!E6</f>
        <v>-1846.2166074337711</v>
      </c>
      <c r="D6" s="13">
        <f>F6-[1]Spain!F6</f>
        <v>-2662</v>
      </c>
      <c r="E6" s="125">
        <v>11792.783392566229</v>
      </c>
      <c r="F6" s="13">
        <v>9761</v>
      </c>
      <c r="G6" s="13">
        <v>6980</v>
      </c>
      <c r="H6" s="97">
        <v>6543.3297913525712</v>
      </c>
      <c r="I6" s="97">
        <v>7914.9707313263134</v>
      </c>
      <c r="J6" s="97">
        <v>5781.7340095545478</v>
      </c>
      <c r="K6" s="97">
        <v>2622.2080576154544</v>
      </c>
      <c r="L6" s="97">
        <v>2131.9048353740418</v>
      </c>
      <c r="M6" s="97">
        <v>4635.0851144308572</v>
      </c>
      <c r="N6" s="97">
        <v>2448</v>
      </c>
      <c r="O6" s="97">
        <v>4197.223772308148</v>
      </c>
      <c r="P6" s="97">
        <v>10313.316592710129</v>
      </c>
      <c r="Q6" s="13">
        <v>4891</v>
      </c>
      <c r="R6" s="37">
        <v>5836</v>
      </c>
      <c r="U6" s="13"/>
      <c r="V6" s="46"/>
    </row>
    <row r="7" spans="1:22" ht="13.5" thickBot="1" x14ac:dyDescent="0.25">
      <c r="A7" s="28" t="s">
        <v>59</v>
      </c>
      <c r="B7" s="35">
        <f t="shared" si="0"/>
        <v>1.0692884750527054</v>
      </c>
      <c r="C7" s="144">
        <f>E7-[1]Spain!E7</f>
        <v>-4032.6100000000006</v>
      </c>
      <c r="D7" s="13">
        <f>F7-[1]Spain!F7</f>
        <v>-2857</v>
      </c>
      <c r="E7" s="125">
        <v>11778.39</v>
      </c>
      <c r="F7" s="13">
        <v>5692</v>
      </c>
      <c r="G7" s="13">
        <v>4670</v>
      </c>
      <c r="H7" s="97">
        <v>5290</v>
      </c>
      <c r="I7" s="97">
        <v>4437.1000000000004</v>
      </c>
      <c r="J7" s="97">
        <v>4218.1180000000004</v>
      </c>
      <c r="K7" s="97">
        <v>3902.134</v>
      </c>
      <c r="L7" s="97">
        <v>2607</v>
      </c>
      <c r="M7" s="97">
        <v>5184.59</v>
      </c>
      <c r="N7" s="97">
        <v>2766</v>
      </c>
      <c r="O7" s="97">
        <v>3768</v>
      </c>
      <c r="P7" s="97">
        <v>3368</v>
      </c>
      <c r="Q7" s="13">
        <v>2552</v>
      </c>
      <c r="R7" s="37">
        <v>3062</v>
      </c>
      <c r="U7" s="13"/>
      <c r="V7" s="46"/>
    </row>
    <row r="8" spans="1:22" ht="13.5" thickBot="1" x14ac:dyDescent="0.25">
      <c r="A8" s="151" t="s">
        <v>23</v>
      </c>
      <c r="B8" s="160">
        <f t="shared" si="0"/>
        <v>0.31945868825160345</v>
      </c>
      <c r="C8" s="171">
        <f>E8-[1]Spain!E8</f>
        <v>-41158.937969485531</v>
      </c>
      <c r="D8" s="106">
        <f>F8-[1]Spain!F8</f>
        <v>-34025</v>
      </c>
      <c r="E8" s="58">
        <f>SUM(E2:E7)</f>
        <v>147270.06203051447</v>
      </c>
      <c r="F8" s="106">
        <f>SUM(F2:F7)</f>
        <v>111614</v>
      </c>
      <c r="G8" s="106">
        <f t="shared" ref="G8:L8" si="1">SUM(G2:G7)</f>
        <v>88490</v>
      </c>
      <c r="H8" s="106">
        <f t="shared" si="1"/>
        <v>125751.73689310774</v>
      </c>
      <c r="I8" s="106">
        <f t="shared" si="1"/>
        <v>90361.609288090141</v>
      </c>
      <c r="J8" s="106">
        <f t="shared" si="1"/>
        <v>101100.77488239626</v>
      </c>
      <c r="K8" s="106">
        <f t="shared" si="1"/>
        <v>89872.261951597146</v>
      </c>
      <c r="L8" s="106">
        <f t="shared" si="1"/>
        <v>54084.798070911478</v>
      </c>
      <c r="M8" s="106">
        <f t="shared" ref="M8:R8" si="2">SUM(M2:M7)</f>
        <v>96055.348517834558</v>
      </c>
      <c r="N8" s="106">
        <f t="shared" si="2"/>
        <v>82666</v>
      </c>
      <c r="O8" s="106">
        <f t="shared" si="2"/>
        <v>74812.849279070084</v>
      </c>
      <c r="P8" s="106">
        <f t="shared" si="2"/>
        <v>106287.422811934</v>
      </c>
      <c r="Q8" s="106">
        <f t="shared" si="2"/>
        <v>76346</v>
      </c>
      <c r="R8" s="152">
        <f t="shared" si="2"/>
        <v>64969</v>
      </c>
      <c r="U8" s="13"/>
      <c r="V8" s="46"/>
    </row>
    <row r="9" spans="1:22" s="9" customFormat="1" x14ac:dyDescent="0.2">
      <c r="B9" s="44"/>
      <c r="C9" s="44"/>
      <c r="D9" s="44"/>
      <c r="E9" s="44"/>
      <c r="F9" s="44"/>
      <c r="G9" s="44"/>
      <c r="H9" s="12"/>
      <c r="I9" s="12"/>
      <c r="J9" s="12"/>
      <c r="K9" s="12"/>
      <c r="L9" s="12"/>
      <c r="M9" s="12"/>
      <c r="N9" s="12"/>
      <c r="O9" s="12"/>
      <c r="P9" s="12"/>
      <c r="U9" s="13"/>
      <c r="V9" s="46"/>
    </row>
    <row r="10" spans="1:22" s="9" customFormat="1" ht="13.5" thickBot="1" x14ac:dyDescent="0.25">
      <c r="B10" s="44"/>
      <c r="C10" s="44"/>
      <c r="D10" s="44"/>
      <c r="E10" s="44"/>
      <c r="F10" s="44"/>
      <c r="G10" s="44"/>
      <c r="H10" s="12"/>
      <c r="I10" s="12"/>
      <c r="J10" s="12"/>
      <c r="K10" s="12"/>
      <c r="L10" s="12"/>
      <c r="M10" s="12"/>
      <c r="N10" s="12"/>
      <c r="O10" s="12"/>
      <c r="P10" s="12"/>
      <c r="U10" s="12"/>
      <c r="V10" s="12"/>
    </row>
    <row r="11" spans="1:22" s="16" customFormat="1" ht="13.5" thickBot="1" x14ac:dyDescent="0.25">
      <c r="A11" s="31" t="s">
        <v>25</v>
      </c>
      <c r="B11" s="32" t="s">
        <v>174</v>
      </c>
      <c r="C11" s="62" t="s">
        <v>173</v>
      </c>
      <c r="D11" s="96" t="s">
        <v>168</v>
      </c>
      <c r="E11" s="128">
        <v>43922</v>
      </c>
      <c r="F11" s="136">
        <v>43556</v>
      </c>
      <c r="G11" s="136">
        <v>43191</v>
      </c>
      <c r="H11" s="33">
        <v>42826</v>
      </c>
      <c r="I11" s="33">
        <v>42461</v>
      </c>
      <c r="J11" s="33">
        <v>42095</v>
      </c>
      <c r="K11" s="33">
        <v>41730</v>
      </c>
      <c r="L11" s="33">
        <v>41365</v>
      </c>
      <c r="M11" s="33">
        <v>41000</v>
      </c>
      <c r="N11" s="33">
        <v>40634</v>
      </c>
      <c r="O11" s="33">
        <v>40269</v>
      </c>
      <c r="P11" s="33">
        <v>39904</v>
      </c>
      <c r="Q11" s="33">
        <v>39539</v>
      </c>
      <c r="R11" s="34">
        <v>39173</v>
      </c>
    </row>
    <row r="12" spans="1:22" x14ac:dyDescent="0.2">
      <c r="A12" s="27" t="s">
        <v>38</v>
      </c>
      <c r="B12" s="35">
        <f>(E12-F12)/F12</f>
        <v>0.4124489754916168</v>
      </c>
      <c r="C12" s="144">
        <f>E12-[1]Spain!E12</f>
        <v>-899.58122699913054</v>
      </c>
      <c r="D12" s="13">
        <f>F12-[1]Spain!F12</f>
        <v>-599</v>
      </c>
      <c r="E12" s="125">
        <v>864.41877300086946</v>
      </c>
      <c r="F12" s="13">
        <v>612</v>
      </c>
      <c r="G12" s="13">
        <v>916</v>
      </c>
      <c r="H12" s="13">
        <v>985.78212365534273</v>
      </c>
      <c r="I12" s="13">
        <v>372.69344392608912</v>
      </c>
      <c r="J12" s="13">
        <v>585.49610484238758</v>
      </c>
      <c r="K12" s="13">
        <v>2521.9151000761449</v>
      </c>
      <c r="L12" s="13">
        <v>62.54136214165181</v>
      </c>
      <c r="M12" s="13">
        <v>3179.9660753527169</v>
      </c>
      <c r="N12" s="13">
        <v>2263</v>
      </c>
      <c r="O12" s="13">
        <v>1451.426480970579</v>
      </c>
      <c r="P12" s="13">
        <v>894.48632173766396</v>
      </c>
      <c r="Q12" s="13">
        <v>642</v>
      </c>
      <c r="R12" s="37">
        <v>3281</v>
      </c>
      <c r="U12" s="16"/>
      <c r="V12" s="16"/>
    </row>
    <row r="13" spans="1:22" x14ac:dyDescent="0.2">
      <c r="A13" s="27" t="s">
        <v>39</v>
      </c>
      <c r="B13" s="35">
        <f>(E13-F13)/F13</f>
        <v>-0.66191821667393136</v>
      </c>
      <c r="C13" s="144">
        <f>E13-[1]Spain!E13</f>
        <v>-1226.1508121620086</v>
      </c>
      <c r="D13" s="13">
        <f>F13-[1]Spain!F13</f>
        <v>-1749</v>
      </c>
      <c r="E13" s="125">
        <v>558.84918783799128</v>
      </c>
      <c r="F13" s="13">
        <v>1653</v>
      </c>
      <c r="G13" s="13">
        <v>3346</v>
      </c>
      <c r="H13" s="13">
        <v>1542.2346504176121</v>
      </c>
      <c r="I13" s="13">
        <v>1859.3620256859326</v>
      </c>
      <c r="J13" s="13">
        <v>4275.0406580721483</v>
      </c>
      <c r="K13" s="13">
        <v>3904.7340513738932</v>
      </c>
      <c r="L13" s="13">
        <v>1873.002115138647</v>
      </c>
      <c r="M13" s="13">
        <v>4672.4939831291604</v>
      </c>
      <c r="N13" s="13">
        <v>7701</v>
      </c>
      <c r="O13" s="13">
        <v>6311.930972154586</v>
      </c>
      <c r="P13" s="13">
        <v>2045.5221628081351</v>
      </c>
      <c r="Q13" s="13">
        <v>12074</v>
      </c>
      <c r="R13" s="37">
        <v>5483</v>
      </c>
      <c r="U13" s="13"/>
      <c r="V13" s="46"/>
    </row>
    <row r="14" spans="1:22" x14ac:dyDescent="0.2">
      <c r="A14" s="27" t="s">
        <v>7</v>
      </c>
      <c r="B14" s="35">
        <f>(E14-F14)/F14</f>
        <v>0.12412584553207331</v>
      </c>
      <c r="C14" s="144">
        <f>E14-[1]Spain!E14</f>
        <v>-10626.346827573288</v>
      </c>
      <c r="D14" s="13">
        <f>F14-[1]Spain!F14</f>
        <v>-10758</v>
      </c>
      <c r="E14" s="125">
        <v>26486.653172426712</v>
      </c>
      <c r="F14" s="13">
        <v>23562</v>
      </c>
      <c r="G14" s="13">
        <v>28418</v>
      </c>
      <c r="H14" s="13">
        <v>19933.04275900482</v>
      </c>
      <c r="I14" s="13">
        <v>27608.174026550005</v>
      </c>
      <c r="J14" s="13">
        <v>29678.289786926431</v>
      </c>
      <c r="K14" s="13">
        <v>32867.327479316067</v>
      </c>
      <c r="L14" s="13">
        <v>12547.502709195298</v>
      </c>
      <c r="M14" s="13">
        <v>49291.278797500425</v>
      </c>
      <c r="N14" s="13">
        <v>40262</v>
      </c>
      <c r="O14" s="13">
        <v>26033.994844091048</v>
      </c>
      <c r="P14" s="13">
        <v>32472.782969568874</v>
      </c>
      <c r="Q14" s="13">
        <v>19524</v>
      </c>
      <c r="R14" s="37">
        <v>29727</v>
      </c>
      <c r="U14" s="13"/>
      <c r="V14" s="46"/>
    </row>
    <row r="15" spans="1:22" x14ac:dyDescent="0.2">
      <c r="A15" s="27" t="s">
        <v>111</v>
      </c>
      <c r="B15" s="35"/>
      <c r="C15" s="144">
        <f>E15-[1]Spain!E15</f>
        <v>0.13476524496018372</v>
      </c>
      <c r="D15" s="13">
        <f>F15-[1]Spain!F15</f>
        <v>0</v>
      </c>
      <c r="E15" s="125">
        <v>1.1347652449601837</v>
      </c>
      <c r="F15" s="13"/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37">
        <v>0</v>
      </c>
      <c r="U15" s="13"/>
      <c r="V15" s="46"/>
    </row>
    <row r="16" spans="1:22" ht="13.5" thickBot="1" x14ac:dyDescent="0.25">
      <c r="A16" s="27" t="s">
        <v>59</v>
      </c>
      <c r="B16" s="35">
        <f>(E16-F16)/F16</f>
        <v>-2.8413295303203037E-2</v>
      </c>
      <c r="C16" s="144">
        <f>E16-[1]Spain!E16</f>
        <v>-661.22399161812893</v>
      </c>
      <c r="D16" s="13">
        <f>F16-[1]Spain!F16</f>
        <v>-592</v>
      </c>
      <c r="E16" s="125">
        <v>554.77600838187107</v>
      </c>
      <c r="F16" s="13">
        <v>571</v>
      </c>
      <c r="G16" s="13">
        <v>819</v>
      </c>
      <c r="H16" s="13">
        <v>710.69493938968969</v>
      </c>
      <c r="I16" s="13">
        <v>536.80435474854266</v>
      </c>
      <c r="J16" s="13">
        <v>404.006966867458</v>
      </c>
      <c r="K16" s="13">
        <v>1007.031010087787</v>
      </c>
      <c r="L16" s="13">
        <v>185.12830671637698</v>
      </c>
      <c r="M16" s="13">
        <v>1831.8213674782187</v>
      </c>
      <c r="N16" s="13">
        <v>754</v>
      </c>
      <c r="O16" s="13">
        <v>1379.4966621281749</v>
      </c>
      <c r="P16" s="13">
        <v>793.98003496166564</v>
      </c>
      <c r="Q16" s="13">
        <v>1851</v>
      </c>
      <c r="R16" s="37">
        <v>2391</v>
      </c>
      <c r="U16" s="13"/>
      <c r="V16" s="46"/>
    </row>
    <row r="17" spans="1:22" ht="13.5" thickBot="1" x14ac:dyDescent="0.25">
      <c r="A17" s="31" t="s">
        <v>23</v>
      </c>
      <c r="B17" s="160">
        <f>(E17-F17)/F17</f>
        <v>7.8332900480809264E-2</v>
      </c>
      <c r="C17" s="171">
        <f>E17-[1]Spain!E17</f>
        <v>-13413.168093107597</v>
      </c>
      <c r="D17" s="106">
        <f>F17-[1]Spain!F17</f>
        <v>-13698</v>
      </c>
      <c r="E17" s="58">
        <f>SUM(E12:E16)</f>
        <v>28465.831906892403</v>
      </c>
      <c r="F17" s="106">
        <f>SUM(F12:F16)</f>
        <v>26398</v>
      </c>
      <c r="G17" s="106">
        <f t="shared" ref="G17:L17" si="3">SUM(G12:G16)</f>
        <v>33499</v>
      </c>
      <c r="H17" s="106">
        <f t="shared" si="3"/>
        <v>23171.754472467466</v>
      </c>
      <c r="I17" s="106">
        <f t="shared" si="3"/>
        <v>30377.033850910571</v>
      </c>
      <c r="J17" s="106">
        <f t="shared" si="3"/>
        <v>34942.833516708422</v>
      </c>
      <c r="K17" s="106">
        <f t="shared" si="3"/>
        <v>40301.007640853895</v>
      </c>
      <c r="L17" s="106">
        <f t="shared" si="3"/>
        <v>14668.174493191973</v>
      </c>
      <c r="M17" s="106">
        <f t="shared" ref="M17:R17" si="4">SUM(M12:M16)</f>
        <v>58975.560223460518</v>
      </c>
      <c r="N17" s="106">
        <f t="shared" si="4"/>
        <v>50980</v>
      </c>
      <c r="O17" s="106">
        <f t="shared" si="4"/>
        <v>35176.848959344396</v>
      </c>
      <c r="P17" s="106">
        <f t="shared" si="4"/>
        <v>36206.771489076338</v>
      </c>
      <c r="Q17" s="106">
        <f t="shared" si="4"/>
        <v>34091</v>
      </c>
      <c r="R17" s="152">
        <f t="shared" si="4"/>
        <v>40882</v>
      </c>
      <c r="U17" s="13"/>
      <c r="V17" s="46"/>
    </row>
    <row r="18" spans="1:22" x14ac:dyDescent="0.2">
      <c r="U18" s="16"/>
      <c r="V18" s="16"/>
    </row>
    <row r="19" spans="1:22" x14ac:dyDescent="0.2">
      <c r="U19" s="16"/>
      <c r="V19" s="16"/>
    </row>
    <row r="20" spans="1:22" ht="14.25" x14ac:dyDescent="0.2">
      <c r="G20" s="121"/>
      <c r="H20" s="121"/>
      <c r="U20" s="16"/>
      <c r="V20" s="16"/>
    </row>
    <row r="21" spans="1:22" ht="14.25" x14ac:dyDescent="0.2">
      <c r="G21" s="121"/>
      <c r="H21" s="121"/>
    </row>
    <row r="22" spans="1:22" ht="14.25" x14ac:dyDescent="0.2">
      <c r="G22" s="121"/>
      <c r="H22" s="121"/>
    </row>
    <row r="23" spans="1:22" ht="14.25" x14ac:dyDescent="0.2">
      <c r="G23" s="121"/>
      <c r="H23" s="121"/>
    </row>
    <row r="24" spans="1:22" ht="18" x14ac:dyDescent="0.25">
      <c r="G24" s="121"/>
      <c r="H24" s="121"/>
      <c r="Q24" s="5"/>
      <c r="R24" s="1"/>
      <c r="S24" s="1"/>
    </row>
    <row r="25" spans="1:22" ht="18" x14ac:dyDescent="0.25">
      <c r="G25" s="121"/>
      <c r="H25" s="120"/>
      <c r="Q25" s="5"/>
      <c r="R25" s="1"/>
      <c r="S25" s="1"/>
    </row>
    <row r="26" spans="1:22" ht="18" x14ac:dyDescent="0.25">
      <c r="Q26" s="5"/>
      <c r="R26" s="1"/>
      <c r="S26" s="1"/>
    </row>
    <row r="27" spans="1:22" ht="18" x14ac:dyDescent="0.25">
      <c r="Q27" s="5"/>
      <c r="R27" s="1"/>
      <c r="S27" s="1"/>
    </row>
    <row r="28" spans="1:22" ht="18" x14ac:dyDescent="0.25">
      <c r="Q28" s="5"/>
      <c r="R28" s="1"/>
      <c r="S28" s="1"/>
    </row>
    <row r="29" spans="1:22" ht="18" x14ac:dyDescent="0.25">
      <c r="Q29" s="5"/>
      <c r="R29" s="1"/>
      <c r="S29" s="1"/>
    </row>
    <row r="30" spans="1:22" ht="18" x14ac:dyDescent="0.25">
      <c r="Q30" s="5"/>
      <c r="R30" s="1"/>
      <c r="S30" s="1"/>
    </row>
    <row r="31" spans="1:22" ht="18" x14ac:dyDescent="0.25">
      <c r="Q31" s="5"/>
      <c r="R31" s="1"/>
      <c r="S31" s="1"/>
    </row>
    <row r="32" spans="1:22" ht="18" x14ac:dyDescent="0.25">
      <c r="Q32" s="5"/>
      <c r="R32" s="1"/>
      <c r="S32" s="1"/>
    </row>
    <row r="33" spans="17:19" ht="18" x14ac:dyDescent="0.25">
      <c r="Q33" s="5"/>
      <c r="R33" s="1"/>
      <c r="S33" s="1"/>
    </row>
    <row r="34" spans="17:19" ht="18" x14ac:dyDescent="0.25">
      <c r="Q34" s="6"/>
      <c r="R34" s="1"/>
      <c r="S34" s="1"/>
    </row>
    <row r="35" spans="17:19" ht="18.75" x14ac:dyDescent="0.3">
      <c r="Q35" s="7"/>
      <c r="R35" s="2"/>
      <c r="S35" s="2"/>
    </row>
  </sheetData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zoomScale="80" zoomScaleNormal="80" workbookViewId="0">
      <selection activeCell="C3" sqref="C3"/>
    </sheetView>
  </sheetViews>
  <sheetFormatPr defaultRowHeight="12.75" x14ac:dyDescent="0.2"/>
  <cols>
    <col min="1" max="1" width="29.28515625" customWidth="1"/>
    <col min="2" max="2" width="10.7109375" customWidth="1"/>
    <col min="3" max="3" width="11.5703125" bestFit="1" customWidth="1"/>
    <col min="4" max="4" width="11.5703125" style="9" bestFit="1" customWidth="1"/>
    <col min="5" max="6" width="11.5703125" style="9" customWidth="1"/>
    <col min="7" max="7" width="12" style="9" customWidth="1"/>
    <col min="8" max="8" width="10.7109375" customWidth="1"/>
    <col min="9" max="16" width="10.140625" style="16" bestFit="1" customWidth="1"/>
    <col min="17" max="18" width="10.140625" bestFit="1" customWidth="1"/>
  </cols>
  <sheetData>
    <row r="1" spans="1:18" s="16" customFormat="1" ht="13.5" thickBot="1" x14ac:dyDescent="0.25">
      <c r="A1" s="31" t="s">
        <v>24</v>
      </c>
      <c r="B1" s="32" t="s">
        <v>174</v>
      </c>
      <c r="C1" s="62" t="s">
        <v>173</v>
      </c>
      <c r="D1" s="96" t="s">
        <v>168</v>
      </c>
      <c r="E1" s="128">
        <v>43922</v>
      </c>
      <c r="F1" s="136">
        <v>43556</v>
      </c>
      <c r="G1" s="136">
        <v>43191</v>
      </c>
      <c r="H1" s="33">
        <v>42826</v>
      </c>
      <c r="I1" s="33">
        <v>42461</v>
      </c>
      <c r="J1" s="33">
        <v>42095</v>
      </c>
      <c r="K1" s="33">
        <v>41730</v>
      </c>
      <c r="L1" s="33">
        <v>41365</v>
      </c>
      <c r="M1" s="33">
        <v>41000</v>
      </c>
      <c r="N1" s="33">
        <v>40634</v>
      </c>
      <c r="O1" s="33">
        <v>40269</v>
      </c>
      <c r="P1" s="33">
        <v>39904</v>
      </c>
      <c r="Q1" s="33">
        <v>39539</v>
      </c>
      <c r="R1" s="34">
        <v>39173</v>
      </c>
    </row>
    <row r="2" spans="1:18" x14ac:dyDescent="0.2">
      <c r="A2" s="27" t="s">
        <v>4</v>
      </c>
      <c r="B2" s="35">
        <f>(E2-F2)/F2</f>
        <v>-1</v>
      </c>
      <c r="C2" s="144">
        <f>E2-[1]Switzerland!E2</f>
        <v>-3</v>
      </c>
      <c r="D2" s="13">
        <f>F2-[1]Switzerland!F2</f>
        <v>-39</v>
      </c>
      <c r="E2" s="125">
        <v>0</v>
      </c>
      <c r="F2" s="13">
        <v>5</v>
      </c>
      <c r="G2" s="13">
        <v>0</v>
      </c>
      <c r="H2" s="13">
        <v>0</v>
      </c>
      <c r="I2" s="13">
        <v>0</v>
      </c>
      <c r="J2" s="13">
        <v>0</v>
      </c>
      <c r="K2" s="13">
        <v>0</v>
      </c>
      <c r="L2" s="13">
        <v>1</v>
      </c>
      <c r="M2" s="13">
        <v>0</v>
      </c>
      <c r="N2" s="13">
        <v>0</v>
      </c>
      <c r="O2" s="13">
        <v>0</v>
      </c>
      <c r="P2" s="13">
        <v>22</v>
      </c>
      <c r="Q2" s="13">
        <v>47</v>
      </c>
      <c r="R2" s="37">
        <v>5</v>
      </c>
    </row>
    <row r="3" spans="1:18" x14ac:dyDescent="0.2">
      <c r="A3" s="27" t="s">
        <v>11</v>
      </c>
      <c r="B3" s="35">
        <f t="shared" ref="B3:B19" si="0">(E3-F3)/F3</f>
        <v>-0.40949999999999998</v>
      </c>
      <c r="C3" s="144">
        <f>E3-[1]Switzerland!E3</f>
        <v>-1608</v>
      </c>
      <c r="D3" s="13">
        <f>F3-[1]Switzerland!F3</f>
        <v>-1305</v>
      </c>
      <c r="E3" s="125">
        <v>3543</v>
      </c>
      <c r="F3" s="13">
        <f>5845+155</f>
        <v>6000</v>
      </c>
      <c r="G3" s="13">
        <v>1314</v>
      </c>
      <c r="H3" s="13">
        <v>4280</v>
      </c>
      <c r="I3" s="13">
        <v>4272</v>
      </c>
      <c r="J3" s="13">
        <v>4092</v>
      </c>
      <c r="K3" s="13">
        <v>4612</v>
      </c>
      <c r="L3" s="13">
        <v>3844</v>
      </c>
      <c r="M3" s="13">
        <v>4250</v>
      </c>
      <c r="N3" s="13">
        <v>3159</v>
      </c>
      <c r="O3" s="13">
        <v>3252</v>
      </c>
      <c r="P3" s="13">
        <v>2311</v>
      </c>
      <c r="Q3" s="13">
        <v>1764</v>
      </c>
      <c r="R3" s="37">
        <v>1242</v>
      </c>
    </row>
    <row r="4" spans="1:18" x14ac:dyDescent="0.2">
      <c r="A4" s="27" t="s">
        <v>5</v>
      </c>
      <c r="B4" s="35"/>
      <c r="C4" s="144">
        <f>E4-[1]Switzerland!E4</f>
        <v>0</v>
      </c>
      <c r="D4" s="13">
        <f>F4-[1]Switzerland!F4</f>
        <v>-41</v>
      </c>
      <c r="E4" s="125">
        <v>0</v>
      </c>
      <c r="F4" s="13"/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37">
        <v>0</v>
      </c>
    </row>
    <row r="5" spans="1:18" x14ac:dyDescent="0.2">
      <c r="A5" s="27" t="s">
        <v>2</v>
      </c>
      <c r="B5" s="35"/>
      <c r="C5" s="144">
        <f>E5-[1]Switzerland!E5</f>
        <v>0</v>
      </c>
      <c r="D5" s="13">
        <f>F5-[1]Switzerland!F5</f>
        <v>-2</v>
      </c>
      <c r="E5" s="125">
        <v>0</v>
      </c>
      <c r="F5" s="13"/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37</v>
      </c>
      <c r="N5" s="13">
        <v>0</v>
      </c>
      <c r="O5" s="13">
        <v>0</v>
      </c>
      <c r="P5" s="13">
        <v>0</v>
      </c>
      <c r="Q5" s="13">
        <v>0</v>
      </c>
      <c r="R5" s="37">
        <v>0</v>
      </c>
    </row>
    <row r="6" spans="1:18" x14ac:dyDescent="0.2">
      <c r="A6" s="27" t="s">
        <v>9</v>
      </c>
      <c r="B6" s="35">
        <f t="shared" si="0"/>
        <v>-6.1097256857855359E-2</v>
      </c>
      <c r="C6" s="144">
        <f>E6-[1]Switzerland!E6</f>
        <v>-3135</v>
      </c>
      <c r="D6" s="13">
        <f>F6-[1]Switzerland!F6</f>
        <v>-3025</v>
      </c>
      <c r="E6" s="125">
        <v>10542</v>
      </c>
      <c r="F6" s="13">
        <f>10794+434</f>
        <v>11228</v>
      </c>
      <c r="G6" s="13">
        <v>3807</v>
      </c>
      <c r="H6" s="13">
        <v>6880</v>
      </c>
      <c r="I6" s="13">
        <v>9363</v>
      </c>
      <c r="J6" s="13">
        <v>7627</v>
      </c>
      <c r="K6" s="13">
        <v>8538</v>
      </c>
      <c r="L6" s="13">
        <v>7726</v>
      </c>
      <c r="M6" s="13">
        <v>10932</v>
      </c>
      <c r="N6" s="13">
        <v>8194</v>
      </c>
      <c r="O6" s="13">
        <v>8556</v>
      </c>
      <c r="P6" s="13">
        <v>4808</v>
      </c>
      <c r="Q6" s="13">
        <v>8099</v>
      </c>
      <c r="R6" s="37">
        <v>4572</v>
      </c>
    </row>
    <row r="7" spans="1:18" x14ac:dyDescent="0.2">
      <c r="A7" s="27" t="s">
        <v>112</v>
      </c>
      <c r="B7" s="35">
        <f t="shared" si="0"/>
        <v>-0.84693877551020413</v>
      </c>
      <c r="C7" s="144">
        <f>E7-[1]Switzerland!E7</f>
        <v>-11</v>
      </c>
      <c r="D7" s="13">
        <f>F7-[1]Switzerland!F7</f>
        <v>-13</v>
      </c>
      <c r="E7" s="125">
        <v>15</v>
      </c>
      <c r="F7" s="13">
        <f>67+31</f>
        <v>98</v>
      </c>
      <c r="G7" s="13">
        <v>4</v>
      </c>
      <c r="H7" s="13">
        <v>57</v>
      </c>
      <c r="I7" s="13">
        <v>65</v>
      </c>
      <c r="J7" s="13">
        <v>28</v>
      </c>
      <c r="K7" s="13">
        <v>85</v>
      </c>
      <c r="L7" s="13">
        <v>90</v>
      </c>
      <c r="M7" s="13">
        <v>43</v>
      </c>
      <c r="N7" s="13">
        <v>386</v>
      </c>
      <c r="O7" s="13">
        <v>50</v>
      </c>
      <c r="P7" s="13">
        <v>371</v>
      </c>
      <c r="Q7" s="13">
        <v>220</v>
      </c>
      <c r="R7" s="37">
        <v>347</v>
      </c>
    </row>
    <row r="8" spans="1:18" x14ac:dyDescent="0.2">
      <c r="A8" s="29" t="s">
        <v>3</v>
      </c>
      <c r="B8" s="35">
        <f t="shared" si="0"/>
        <v>2.6983896706804004E-2</v>
      </c>
      <c r="C8" s="144">
        <f>E8-[1]Switzerland!E8</f>
        <v>-1736</v>
      </c>
      <c r="D8" s="13">
        <f>F8-[1]Switzerland!F8</f>
        <v>-1012</v>
      </c>
      <c r="E8" s="125">
        <v>7079</v>
      </c>
      <c r="F8" s="13">
        <f>6788+105</f>
        <v>6893</v>
      </c>
      <c r="G8" s="13">
        <v>5526</v>
      </c>
      <c r="H8" s="97">
        <v>9466</v>
      </c>
      <c r="I8" s="97">
        <v>7619</v>
      </c>
      <c r="J8" s="97">
        <v>9069</v>
      </c>
      <c r="K8" s="97">
        <v>7018</v>
      </c>
      <c r="L8" s="97">
        <v>9996</v>
      </c>
      <c r="M8" s="97">
        <v>9736</v>
      </c>
      <c r="N8" s="97">
        <v>11300</v>
      </c>
      <c r="O8" s="97">
        <v>12055</v>
      </c>
      <c r="P8" s="97">
        <v>12645</v>
      </c>
      <c r="Q8" s="13">
        <v>12858</v>
      </c>
      <c r="R8" s="37">
        <v>13293</v>
      </c>
    </row>
    <row r="9" spans="1:18" x14ac:dyDescent="0.2">
      <c r="A9" s="29" t="s">
        <v>17</v>
      </c>
      <c r="B9" s="35">
        <f t="shared" si="0"/>
        <v>-0.5625</v>
      </c>
      <c r="C9" s="144">
        <f>E9-[1]Switzerland!E9</f>
        <v>-92</v>
      </c>
      <c r="D9" s="13">
        <f>F9-[1]Switzerland!F9</f>
        <v>-67</v>
      </c>
      <c r="E9" s="125">
        <v>35</v>
      </c>
      <c r="F9" s="13">
        <v>80</v>
      </c>
      <c r="G9" s="13">
        <v>38</v>
      </c>
      <c r="H9" s="97">
        <v>57</v>
      </c>
      <c r="I9" s="97">
        <v>18</v>
      </c>
      <c r="J9" s="97">
        <v>10</v>
      </c>
      <c r="K9" s="97">
        <v>9</v>
      </c>
      <c r="L9" s="97">
        <v>29</v>
      </c>
      <c r="M9" s="97">
        <v>0</v>
      </c>
      <c r="N9" s="97">
        <v>43</v>
      </c>
      <c r="O9" s="97">
        <v>5</v>
      </c>
      <c r="P9" s="97">
        <v>64</v>
      </c>
      <c r="Q9" s="13">
        <v>0</v>
      </c>
      <c r="R9" s="37">
        <v>1</v>
      </c>
    </row>
    <row r="10" spans="1:18" x14ac:dyDescent="0.2">
      <c r="A10" s="29" t="s">
        <v>10</v>
      </c>
      <c r="B10" s="35">
        <f t="shared" si="0"/>
        <v>-0.60902255639097747</v>
      </c>
      <c r="C10" s="144">
        <f>E10-[1]Switzerland!E10</f>
        <v>-94</v>
      </c>
      <c r="D10" s="13">
        <f>F10-[1]Switzerland!F10</f>
        <v>-76</v>
      </c>
      <c r="E10" s="125">
        <v>104</v>
      </c>
      <c r="F10" s="13">
        <v>266</v>
      </c>
      <c r="G10" s="13">
        <v>14</v>
      </c>
      <c r="H10" s="97">
        <v>312</v>
      </c>
      <c r="I10" s="97">
        <v>750</v>
      </c>
      <c r="J10" s="97">
        <v>738</v>
      </c>
      <c r="K10" s="97">
        <v>1245</v>
      </c>
      <c r="L10" s="97">
        <v>1153</v>
      </c>
      <c r="M10" s="97">
        <v>678</v>
      </c>
      <c r="N10" s="97">
        <v>2227</v>
      </c>
      <c r="O10" s="97">
        <v>1405</v>
      </c>
      <c r="P10" s="97">
        <v>2019</v>
      </c>
      <c r="Q10" s="13">
        <v>973</v>
      </c>
      <c r="R10" s="37">
        <v>2344</v>
      </c>
    </row>
    <row r="11" spans="1:18" x14ac:dyDescent="0.2">
      <c r="A11" s="29" t="s">
        <v>27</v>
      </c>
      <c r="B11" s="35">
        <f t="shared" si="0"/>
        <v>-0.10762331838565023</v>
      </c>
      <c r="C11" s="144">
        <f>E11-[1]Switzerland!E11</f>
        <v>-445</v>
      </c>
      <c r="D11" s="13">
        <f>F11-[1]Switzerland!F11</f>
        <v>-168</v>
      </c>
      <c r="E11" s="125">
        <v>1393</v>
      </c>
      <c r="F11" s="13">
        <f>1467+94</f>
        <v>1561</v>
      </c>
      <c r="G11" s="13">
        <v>0</v>
      </c>
      <c r="H11" s="97">
        <v>2238</v>
      </c>
      <c r="I11" s="97">
        <v>1604</v>
      </c>
      <c r="J11" s="97">
        <v>2012</v>
      </c>
      <c r="K11" s="97">
        <v>2077</v>
      </c>
      <c r="L11" s="97">
        <v>1978</v>
      </c>
      <c r="M11" s="97">
        <v>2607</v>
      </c>
      <c r="N11" s="97">
        <v>1807</v>
      </c>
      <c r="O11" s="97">
        <v>2309</v>
      </c>
      <c r="P11" s="97">
        <v>2392</v>
      </c>
      <c r="Q11" s="13">
        <v>2394</v>
      </c>
      <c r="R11" s="37">
        <v>2634</v>
      </c>
    </row>
    <row r="12" spans="1:18" x14ac:dyDescent="0.2">
      <c r="A12" s="29" t="s">
        <v>113</v>
      </c>
      <c r="B12" s="35">
        <f t="shared" si="0"/>
        <v>-1</v>
      </c>
      <c r="C12" s="144">
        <f>E12-[1]Switzerland!E12</f>
        <v>0</v>
      </c>
      <c r="D12" s="13">
        <f>F12-[1]Switzerland!F12</f>
        <v>-28</v>
      </c>
      <c r="E12" s="125">
        <v>0</v>
      </c>
      <c r="F12" s="13">
        <v>181</v>
      </c>
      <c r="G12" s="13">
        <v>0</v>
      </c>
      <c r="H12" s="97">
        <v>50</v>
      </c>
      <c r="I12" s="97">
        <v>13</v>
      </c>
      <c r="J12" s="97">
        <v>75</v>
      </c>
      <c r="K12" s="97">
        <v>104</v>
      </c>
      <c r="L12" s="97">
        <v>15</v>
      </c>
      <c r="M12" s="97">
        <v>36</v>
      </c>
      <c r="N12" s="97">
        <v>46</v>
      </c>
      <c r="O12" s="97">
        <v>0</v>
      </c>
      <c r="P12" s="97">
        <v>10</v>
      </c>
      <c r="Q12" s="13">
        <v>11</v>
      </c>
      <c r="R12" s="37">
        <v>79</v>
      </c>
    </row>
    <row r="13" spans="1:18" x14ac:dyDescent="0.2">
      <c r="A13" s="29" t="s">
        <v>114</v>
      </c>
      <c r="B13" s="35">
        <f t="shared" si="0"/>
        <v>-0.91449814126394047</v>
      </c>
      <c r="C13" s="144">
        <f>E13-[1]Switzerland!E13</f>
        <v>-4</v>
      </c>
      <c r="D13" s="13">
        <f>F13-[1]Switzerland!F13</f>
        <v>-98</v>
      </c>
      <c r="E13" s="125">
        <v>23</v>
      </c>
      <c r="F13" s="13">
        <v>269</v>
      </c>
      <c r="G13" s="13">
        <v>64</v>
      </c>
      <c r="H13" s="97">
        <v>173</v>
      </c>
      <c r="I13" s="97">
        <v>337</v>
      </c>
      <c r="J13" s="97">
        <v>596</v>
      </c>
      <c r="K13" s="97">
        <v>572</v>
      </c>
      <c r="L13" s="97">
        <v>1120</v>
      </c>
      <c r="M13" s="97">
        <v>1419</v>
      </c>
      <c r="N13" s="97">
        <v>3192</v>
      </c>
      <c r="O13" s="97">
        <v>3445</v>
      </c>
      <c r="P13" s="97">
        <v>2879</v>
      </c>
      <c r="Q13" s="13">
        <v>3816</v>
      </c>
      <c r="R13" s="37">
        <v>5457</v>
      </c>
    </row>
    <row r="14" spans="1:18" x14ac:dyDescent="0.2">
      <c r="A14" s="29" t="s">
        <v>13</v>
      </c>
      <c r="B14" s="35">
        <f t="shared" si="0"/>
        <v>-0.87254901960784315</v>
      </c>
      <c r="C14" s="144">
        <f>E14-[1]Switzerland!E14</f>
        <v>-15</v>
      </c>
      <c r="D14" s="13">
        <f>F14-[1]Switzerland!F14</f>
        <v>-49</v>
      </c>
      <c r="E14" s="125">
        <v>13</v>
      </c>
      <c r="F14" s="13">
        <v>102</v>
      </c>
      <c r="G14" s="13">
        <v>0</v>
      </c>
      <c r="H14" s="97">
        <v>111</v>
      </c>
      <c r="I14" s="97">
        <v>97</v>
      </c>
      <c r="J14" s="97">
        <v>23</v>
      </c>
      <c r="K14" s="97">
        <v>261</v>
      </c>
      <c r="L14" s="97">
        <v>437</v>
      </c>
      <c r="M14" s="97">
        <v>598</v>
      </c>
      <c r="N14" s="97">
        <v>503</v>
      </c>
      <c r="O14" s="97">
        <v>445</v>
      </c>
      <c r="P14" s="97">
        <v>450</v>
      </c>
      <c r="Q14" s="13">
        <v>376</v>
      </c>
      <c r="R14" s="37">
        <v>319</v>
      </c>
    </row>
    <row r="15" spans="1:18" x14ac:dyDescent="0.2">
      <c r="A15" s="29" t="s">
        <v>115</v>
      </c>
      <c r="B15" s="35">
        <f t="shared" si="0"/>
        <v>-1</v>
      </c>
      <c r="C15" s="144">
        <f>E15-[1]Switzerland!E15</f>
        <v>0</v>
      </c>
      <c r="D15" s="13">
        <f>F15-[1]Switzerland!F15</f>
        <v>-12</v>
      </c>
      <c r="E15" s="125">
        <v>0</v>
      </c>
      <c r="F15" s="13">
        <v>10</v>
      </c>
      <c r="G15" s="13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0</v>
      </c>
      <c r="P15" s="97">
        <v>0</v>
      </c>
      <c r="Q15" s="13">
        <v>0</v>
      </c>
      <c r="R15" s="37">
        <v>0</v>
      </c>
    </row>
    <row r="16" spans="1:18" x14ac:dyDescent="0.2">
      <c r="A16" s="29" t="s">
        <v>96</v>
      </c>
      <c r="B16" s="35">
        <f t="shared" si="0"/>
        <v>-0.97307692307692306</v>
      </c>
      <c r="C16" s="144">
        <f>E16-[1]Switzerland!E16</f>
        <v>-15</v>
      </c>
      <c r="D16" s="13">
        <f>F16-[1]Switzerland!F16</f>
        <v>-234</v>
      </c>
      <c r="E16" s="125">
        <v>7</v>
      </c>
      <c r="F16" s="13">
        <v>260</v>
      </c>
      <c r="G16" s="13">
        <v>5</v>
      </c>
      <c r="H16" s="97">
        <v>113</v>
      </c>
      <c r="I16" s="97">
        <v>217</v>
      </c>
      <c r="J16" s="97">
        <v>172</v>
      </c>
      <c r="K16" s="97">
        <v>562</v>
      </c>
      <c r="L16" s="97">
        <v>378</v>
      </c>
      <c r="M16" s="97">
        <v>772</v>
      </c>
      <c r="N16" s="97">
        <v>448</v>
      </c>
      <c r="O16" s="97">
        <v>565</v>
      </c>
      <c r="P16" s="97">
        <v>286</v>
      </c>
      <c r="Q16" s="13">
        <v>467</v>
      </c>
      <c r="R16" s="37">
        <v>331</v>
      </c>
    </row>
    <row r="17" spans="1:18" x14ac:dyDescent="0.2">
      <c r="A17" s="53" t="s">
        <v>87</v>
      </c>
      <c r="B17" s="35">
        <f t="shared" si="0"/>
        <v>-0.35624023853471531</v>
      </c>
      <c r="C17" s="144">
        <f>E17-[1]Switzerland!E17</f>
        <v>-1916</v>
      </c>
      <c r="D17" s="13">
        <f>F17-[1]Switzerland!F17</f>
        <v>-2380</v>
      </c>
      <c r="E17" s="125">
        <v>4534</v>
      </c>
      <c r="F17" s="13">
        <f>6907+136</f>
        <v>7043</v>
      </c>
      <c r="G17" s="13">
        <v>2691</v>
      </c>
      <c r="H17" s="97">
        <v>4922</v>
      </c>
      <c r="I17" s="97">
        <v>5343</v>
      </c>
      <c r="J17" s="97">
        <v>6777</v>
      </c>
      <c r="K17" s="97">
        <v>5660</v>
      </c>
      <c r="L17" s="97">
        <v>3144</v>
      </c>
      <c r="M17" s="97">
        <v>3587</v>
      </c>
      <c r="N17" s="97">
        <v>1395</v>
      </c>
      <c r="O17" s="97">
        <f>99+197+1259</f>
        <v>1555</v>
      </c>
      <c r="P17" s="97">
        <v>637</v>
      </c>
      <c r="Q17" s="13">
        <v>320</v>
      </c>
      <c r="R17" s="37">
        <v>100</v>
      </c>
    </row>
    <row r="18" spans="1:18" ht="13.5" thickBot="1" x14ac:dyDescent="0.25">
      <c r="A18" s="28" t="s">
        <v>59</v>
      </c>
      <c r="B18" s="35">
        <f t="shared" si="0"/>
        <v>-0.60221674876847286</v>
      </c>
      <c r="C18" s="144">
        <f>E18-[1]Switzerland!E18</f>
        <v>-543</v>
      </c>
      <c r="D18" s="13">
        <f>F18-[1]Switzerland!F18</f>
        <v>-276</v>
      </c>
      <c r="E18" s="125">
        <v>1292</v>
      </c>
      <c r="F18" s="13">
        <f>219+395+428+38+2123+45</f>
        <v>3248</v>
      </c>
      <c r="G18" s="13">
        <f>48+234+101+61</f>
        <v>444</v>
      </c>
      <c r="H18" s="97">
        <v>2259</v>
      </c>
      <c r="I18" s="97">
        <v>684</v>
      </c>
      <c r="J18" s="97">
        <v>545</v>
      </c>
      <c r="K18" s="97">
        <v>601</v>
      </c>
      <c r="L18" s="97">
        <v>243</v>
      </c>
      <c r="M18" s="97">
        <v>392</v>
      </c>
      <c r="N18" s="97">
        <v>273</v>
      </c>
      <c r="O18" s="97">
        <v>440</v>
      </c>
      <c r="P18" s="97">
        <v>301</v>
      </c>
      <c r="Q18" s="13">
        <v>406</v>
      </c>
      <c r="R18" s="37">
        <v>318</v>
      </c>
    </row>
    <row r="19" spans="1:18" ht="13.5" thickBot="1" x14ac:dyDescent="0.25">
      <c r="A19" s="151" t="s">
        <v>23</v>
      </c>
      <c r="B19" s="160">
        <f t="shared" si="0"/>
        <v>-0.23262807432069596</v>
      </c>
      <c r="C19" s="171">
        <f>E19-[1]Switzerland!E19</f>
        <v>-9617</v>
      </c>
      <c r="D19" s="106">
        <f>F19-[1]Switzerland!F19</f>
        <v>-8825</v>
      </c>
      <c r="E19" s="164">
        <v>28580</v>
      </c>
      <c r="F19" s="106">
        <f>SUM(F2:F18)</f>
        <v>37244</v>
      </c>
      <c r="G19" s="106">
        <f t="shared" ref="G19:L19" si="1">SUM(G2:G18)</f>
        <v>13907</v>
      </c>
      <c r="H19" s="106">
        <f t="shared" si="1"/>
        <v>30918</v>
      </c>
      <c r="I19" s="106">
        <f t="shared" si="1"/>
        <v>30382</v>
      </c>
      <c r="J19" s="106">
        <f t="shared" si="1"/>
        <v>31764</v>
      </c>
      <c r="K19" s="106">
        <f t="shared" si="1"/>
        <v>31344</v>
      </c>
      <c r="L19" s="106">
        <f t="shared" si="1"/>
        <v>30154</v>
      </c>
      <c r="M19" s="106">
        <f t="shared" ref="M19:R19" si="2">SUM(M2:M18)</f>
        <v>35087</v>
      </c>
      <c r="N19" s="106">
        <f t="shared" si="2"/>
        <v>32973</v>
      </c>
      <c r="O19" s="106">
        <f t="shared" si="2"/>
        <v>34082</v>
      </c>
      <c r="P19" s="106">
        <f t="shared" si="2"/>
        <v>29195</v>
      </c>
      <c r="Q19" s="106">
        <f t="shared" si="2"/>
        <v>31751</v>
      </c>
      <c r="R19" s="152">
        <f t="shared" si="2"/>
        <v>31042</v>
      </c>
    </row>
    <row r="20" spans="1:18" s="9" customFormat="1" x14ac:dyDescent="0.2">
      <c r="B20" s="44"/>
      <c r="C20" s="44"/>
      <c r="D20" s="44"/>
      <c r="E20" s="44"/>
      <c r="F20" s="44"/>
      <c r="G20" s="44"/>
      <c r="H20" s="12"/>
      <c r="I20" s="12"/>
      <c r="J20" s="12"/>
      <c r="K20" s="12"/>
      <c r="L20" s="12"/>
      <c r="M20" s="12"/>
      <c r="N20" s="12"/>
      <c r="O20" s="12"/>
      <c r="P20" s="12"/>
    </row>
    <row r="21" spans="1:18" s="9" customFormat="1" ht="13.5" thickBot="1" x14ac:dyDescent="0.25">
      <c r="B21" s="44"/>
      <c r="C21" s="44"/>
      <c r="D21" s="44"/>
      <c r="E21" s="44"/>
      <c r="F21" s="44"/>
      <c r="G21" s="44"/>
      <c r="H21" s="12"/>
      <c r="I21" s="12"/>
      <c r="J21" s="12"/>
      <c r="K21" s="12"/>
      <c r="L21" s="12"/>
      <c r="M21" s="12"/>
      <c r="N21" s="12"/>
      <c r="O21" s="12"/>
      <c r="P21" s="12"/>
    </row>
    <row r="22" spans="1:18" s="16" customFormat="1" ht="13.5" thickBot="1" x14ac:dyDescent="0.25">
      <c r="A22" s="31" t="s">
        <v>25</v>
      </c>
      <c r="B22" s="32" t="s">
        <v>174</v>
      </c>
      <c r="C22" s="62" t="s">
        <v>173</v>
      </c>
      <c r="D22" s="96" t="s">
        <v>168</v>
      </c>
      <c r="E22" s="128">
        <v>43922</v>
      </c>
      <c r="F22" s="136">
        <v>43556</v>
      </c>
      <c r="G22" s="136">
        <v>43191</v>
      </c>
      <c r="H22" s="33">
        <v>42826</v>
      </c>
      <c r="I22" s="33">
        <v>42461</v>
      </c>
      <c r="J22" s="33">
        <v>42095</v>
      </c>
      <c r="K22" s="33">
        <v>41730</v>
      </c>
      <c r="L22" s="33">
        <v>41365</v>
      </c>
      <c r="M22" s="33">
        <v>41000</v>
      </c>
      <c r="N22" s="33">
        <v>40634</v>
      </c>
      <c r="O22" s="33">
        <v>40269</v>
      </c>
      <c r="P22" s="33">
        <v>39904</v>
      </c>
      <c r="Q22" s="33">
        <v>39539</v>
      </c>
      <c r="R22" s="34">
        <v>39173</v>
      </c>
    </row>
    <row r="23" spans="1:18" x14ac:dyDescent="0.2">
      <c r="A23" s="27" t="s">
        <v>116</v>
      </c>
      <c r="B23" s="35">
        <f>(E23-F23)/F23</f>
        <v>0.24159663865546219</v>
      </c>
      <c r="C23" s="144">
        <f>E23-[1]Switzerland!E23</f>
        <v>-1168</v>
      </c>
      <c r="D23" s="13">
        <f>F23-[1]Switzerland!F23</f>
        <v>-1530</v>
      </c>
      <c r="E23" s="125">
        <v>2364</v>
      </c>
      <c r="F23" s="13">
        <v>1904</v>
      </c>
      <c r="G23" s="13">
        <v>0</v>
      </c>
      <c r="H23" s="13">
        <v>298</v>
      </c>
      <c r="I23" s="13">
        <v>233</v>
      </c>
      <c r="J23" s="13">
        <v>1422</v>
      </c>
      <c r="K23" s="13">
        <v>715</v>
      </c>
      <c r="L23" s="13">
        <v>26</v>
      </c>
      <c r="M23" s="13">
        <v>1148</v>
      </c>
      <c r="N23" s="13">
        <v>75</v>
      </c>
      <c r="O23" s="13">
        <v>714</v>
      </c>
      <c r="P23" s="13">
        <v>0</v>
      </c>
      <c r="Q23" s="13">
        <v>330</v>
      </c>
      <c r="R23" s="37">
        <v>11</v>
      </c>
    </row>
    <row r="24" spans="1:18" x14ac:dyDescent="0.2">
      <c r="A24" s="27" t="s">
        <v>7</v>
      </c>
      <c r="B24" s="35">
        <f>(E24-F24)/F24</f>
        <v>0.66666666666666663</v>
      </c>
      <c r="C24" s="144">
        <f>E24-[1]Switzerland!E24</f>
        <v>-482</v>
      </c>
      <c r="D24" s="13">
        <f>F24-[1]Switzerland!F24</f>
        <v>-139</v>
      </c>
      <c r="E24" s="125">
        <v>40</v>
      </c>
      <c r="F24" s="13">
        <v>24</v>
      </c>
      <c r="G24" s="13">
        <v>0</v>
      </c>
      <c r="H24" s="13">
        <v>64</v>
      </c>
      <c r="I24" s="13">
        <v>0</v>
      </c>
      <c r="J24" s="13">
        <v>47</v>
      </c>
      <c r="K24" s="13">
        <v>2</v>
      </c>
      <c r="L24" s="13">
        <v>0</v>
      </c>
      <c r="M24" s="13">
        <v>1030</v>
      </c>
      <c r="N24" s="13">
        <v>2</v>
      </c>
      <c r="O24" s="13">
        <v>542</v>
      </c>
      <c r="P24" s="13">
        <v>0</v>
      </c>
      <c r="Q24" s="13">
        <v>596</v>
      </c>
      <c r="R24" s="37">
        <v>3</v>
      </c>
    </row>
    <row r="25" spans="1:18" x14ac:dyDescent="0.2">
      <c r="A25" s="27" t="s">
        <v>117</v>
      </c>
      <c r="B25" s="35">
        <f>(E25-F25)/F25</f>
        <v>1.5</v>
      </c>
      <c r="C25" s="144">
        <f>E25-[1]Switzerland!E25</f>
        <v>-112</v>
      </c>
      <c r="D25" s="13">
        <f>F25-[1]Switzerland!F25</f>
        <v>-290</v>
      </c>
      <c r="E25" s="125">
        <v>15</v>
      </c>
      <c r="F25" s="13">
        <v>6</v>
      </c>
      <c r="G25" s="13">
        <v>0</v>
      </c>
      <c r="H25" s="13">
        <v>20</v>
      </c>
      <c r="I25" s="13">
        <v>88</v>
      </c>
      <c r="J25" s="13">
        <v>55</v>
      </c>
      <c r="K25" s="13">
        <v>21</v>
      </c>
      <c r="L25" s="13">
        <v>0</v>
      </c>
      <c r="M25" s="13">
        <v>696</v>
      </c>
      <c r="N25" s="13">
        <v>0</v>
      </c>
      <c r="O25" s="13">
        <v>310</v>
      </c>
      <c r="P25" s="13">
        <v>0</v>
      </c>
      <c r="Q25" s="13">
        <v>725</v>
      </c>
      <c r="R25" s="37">
        <v>0</v>
      </c>
    </row>
    <row r="26" spans="1:18" x14ac:dyDescent="0.2">
      <c r="A26" s="53" t="s">
        <v>141</v>
      </c>
      <c r="B26" s="35"/>
      <c r="C26" s="144">
        <f>E26-[1]Switzerland!E26</f>
        <v>-15</v>
      </c>
      <c r="D26" s="13">
        <f>F26-[1]Switzerland!F26</f>
        <v>0</v>
      </c>
      <c r="E26" s="125">
        <v>10</v>
      </c>
      <c r="F26" s="13"/>
      <c r="G26" s="13">
        <v>0</v>
      </c>
      <c r="H26" s="13">
        <v>0</v>
      </c>
      <c r="I26" s="13"/>
      <c r="J26" s="13"/>
      <c r="K26" s="13"/>
      <c r="L26" s="13"/>
      <c r="M26" s="13"/>
      <c r="N26" s="13"/>
      <c r="O26" s="13"/>
      <c r="P26" s="13"/>
      <c r="Q26" s="13"/>
      <c r="R26" s="37"/>
    </row>
    <row r="27" spans="1:18" ht="13.5" thickBot="1" x14ac:dyDescent="0.25">
      <c r="A27" s="27" t="s">
        <v>59</v>
      </c>
      <c r="B27" s="35">
        <f>(E27-F27)/F27</f>
        <v>-0.625</v>
      </c>
      <c r="C27" s="144">
        <f>E27-[1]Switzerland!E27</f>
        <v>-75</v>
      </c>
      <c r="D27" s="13">
        <f>F27-[1]Switzerland!F27</f>
        <v>-146</v>
      </c>
      <c r="E27" s="125">
        <v>30</v>
      </c>
      <c r="F27" s="13">
        <v>80</v>
      </c>
      <c r="G27" s="13">
        <v>0</v>
      </c>
      <c r="H27" s="13">
        <v>45</v>
      </c>
      <c r="I27" s="13">
        <v>35</v>
      </c>
      <c r="J27" s="13">
        <v>97</v>
      </c>
      <c r="K27" s="13">
        <v>12</v>
      </c>
      <c r="L27" s="13">
        <v>2</v>
      </c>
      <c r="M27" s="13">
        <v>59</v>
      </c>
      <c r="N27" s="13">
        <v>2</v>
      </c>
      <c r="O27" s="13">
        <v>67</v>
      </c>
      <c r="P27" s="13">
        <v>0</v>
      </c>
      <c r="Q27" s="13">
        <v>105</v>
      </c>
      <c r="R27" s="37">
        <v>19</v>
      </c>
    </row>
    <row r="28" spans="1:18" ht="13.5" thickBot="1" x14ac:dyDescent="0.25">
      <c r="A28" s="31" t="s">
        <v>23</v>
      </c>
      <c r="B28" s="160">
        <f>(E28-F28)/F28</f>
        <v>0.22095332671300894</v>
      </c>
      <c r="C28" s="171">
        <f>E28-[1]Switzerland!E28</f>
        <v>-1852</v>
      </c>
      <c r="D28" s="106">
        <f>F28-[1]Switzerland!F28</f>
        <v>-2105</v>
      </c>
      <c r="E28" s="58">
        <v>2459</v>
      </c>
      <c r="F28" s="106">
        <f>SUM(F23:F27)</f>
        <v>2014</v>
      </c>
      <c r="G28" s="106">
        <v>0</v>
      </c>
      <c r="H28" s="106">
        <f>SUM(H23:H27)</f>
        <v>427</v>
      </c>
      <c r="I28" s="106">
        <f>SUM(I23:I27)</f>
        <v>356</v>
      </c>
      <c r="J28" s="106">
        <f>SUM(J23:J27)</f>
        <v>1621</v>
      </c>
      <c r="K28" s="106">
        <f>SUM(K23:K27)</f>
        <v>750</v>
      </c>
      <c r="L28" s="106">
        <f>SUM(L23:L27)</f>
        <v>28</v>
      </c>
      <c r="M28" s="106">
        <f t="shared" ref="M28:R28" si="3">SUM(M23:M27)</f>
        <v>2933</v>
      </c>
      <c r="N28" s="106">
        <f t="shared" si="3"/>
        <v>79</v>
      </c>
      <c r="O28" s="106">
        <f t="shared" si="3"/>
        <v>1633</v>
      </c>
      <c r="P28" s="106">
        <f t="shared" si="3"/>
        <v>0</v>
      </c>
      <c r="Q28" s="106">
        <f t="shared" si="3"/>
        <v>1756</v>
      </c>
      <c r="R28" s="152">
        <f t="shared" si="3"/>
        <v>33</v>
      </c>
    </row>
    <row r="35" spans="17:19" ht="18" x14ac:dyDescent="0.25">
      <c r="Q35" s="5"/>
      <c r="R35" s="1"/>
      <c r="S35" s="1"/>
    </row>
    <row r="36" spans="17:19" ht="18" x14ac:dyDescent="0.25">
      <c r="Q36" s="5"/>
      <c r="R36" s="1"/>
      <c r="S36" s="1"/>
    </row>
    <row r="37" spans="17:19" ht="18" x14ac:dyDescent="0.25">
      <c r="Q37" s="5"/>
      <c r="R37" s="1"/>
      <c r="S37" s="1"/>
    </row>
    <row r="38" spans="17:19" ht="18" x14ac:dyDescent="0.25">
      <c r="Q38" s="5"/>
      <c r="R38" s="1"/>
      <c r="S38" s="1"/>
    </row>
    <row r="39" spans="17:19" ht="18" x14ac:dyDescent="0.25">
      <c r="Q39" s="5"/>
      <c r="R39" s="1"/>
      <c r="S39" s="1"/>
    </row>
    <row r="40" spans="17:19" ht="18" x14ac:dyDescent="0.25">
      <c r="Q40" s="5"/>
      <c r="R40" s="1"/>
      <c r="S40" s="1"/>
    </row>
    <row r="41" spans="17:19" ht="18" x14ac:dyDescent="0.25">
      <c r="Q41" s="5"/>
      <c r="R41" s="1"/>
      <c r="S41" s="1"/>
    </row>
    <row r="42" spans="17:19" ht="18" x14ac:dyDescent="0.25">
      <c r="Q42" s="5"/>
      <c r="R42" s="1"/>
      <c r="S42" s="1"/>
    </row>
    <row r="43" spans="17:19" ht="18" x14ac:dyDescent="0.25">
      <c r="Q43" s="5"/>
      <c r="R43" s="1"/>
      <c r="S43" s="1"/>
    </row>
    <row r="44" spans="17:19" ht="18" x14ac:dyDescent="0.25">
      <c r="Q44" s="5"/>
      <c r="R44" s="1"/>
      <c r="S44" s="1"/>
    </row>
    <row r="45" spans="17:19" ht="18" x14ac:dyDescent="0.25">
      <c r="Q45" s="6"/>
      <c r="R45" s="1"/>
      <c r="S45" s="1"/>
    </row>
    <row r="46" spans="17:19" ht="18.75" x14ac:dyDescent="0.3">
      <c r="Q46" s="7"/>
      <c r="R46" s="2"/>
      <c r="S46" s="2"/>
    </row>
  </sheetData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zoomScaleNormal="100" workbookViewId="0">
      <selection activeCell="D15" sqref="D15"/>
    </sheetView>
  </sheetViews>
  <sheetFormatPr defaultRowHeight="12.75" x14ac:dyDescent="0.2"/>
  <cols>
    <col min="1" max="1" width="29.28515625" customWidth="1"/>
    <col min="2" max="2" width="10.7109375" customWidth="1"/>
    <col min="3" max="3" width="11.5703125" bestFit="1" customWidth="1"/>
    <col min="4" max="4" width="11.5703125" style="9" bestFit="1" customWidth="1"/>
    <col min="5" max="6" width="11.5703125" style="9" customWidth="1"/>
    <col min="7" max="7" width="11.28515625" style="9" customWidth="1"/>
    <col min="8" max="8" width="10.7109375" customWidth="1"/>
    <col min="9" max="16" width="10.140625" style="12" bestFit="1" customWidth="1"/>
    <col min="17" max="18" width="10.140625" bestFit="1" customWidth="1"/>
    <col min="20" max="20" width="11" customWidth="1"/>
  </cols>
  <sheetData>
    <row r="1" spans="1:18" s="16" customFormat="1" ht="13.5" thickBot="1" x14ac:dyDescent="0.25">
      <c r="A1" s="31" t="s">
        <v>24</v>
      </c>
      <c r="B1" s="32" t="s">
        <v>174</v>
      </c>
      <c r="C1" s="62" t="s">
        <v>173</v>
      </c>
      <c r="D1" s="96" t="s">
        <v>168</v>
      </c>
      <c r="E1" s="128">
        <v>43922</v>
      </c>
      <c r="F1" s="136">
        <v>43556</v>
      </c>
      <c r="G1" s="136">
        <v>43191</v>
      </c>
      <c r="H1" s="33">
        <v>42826</v>
      </c>
      <c r="I1" s="33">
        <v>42461</v>
      </c>
      <c r="J1" s="33">
        <v>42095</v>
      </c>
      <c r="K1" s="33">
        <v>41730</v>
      </c>
      <c r="L1" s="33">
        <v>41365</v>
      </c>
      <c r="M1" s="33">
        <v>41000</v>
      </c>
      <c r="N1" s="33">
        <v>40634</v>
      </c>
      <c r="O1" s="33">
        <v>40269</v>
      </c>
      <c r="P1" s="33">
        <v>39904</v>
      </c>
      <c r="Q1" s="33">
        <v>39539</v>
      </c>
      <c r="R1" s="34">
        <v>39173</v>
      </c>
    </row>
    <row r="2" spans="1:18" x14ac:dyDescent="0.2">
      <c r="A2" s="27" t="s">
        <v>4</v>
      </c>
      <c r="B2" s="35">
        <f>(E2-F2)/F2</f>
        <v>-0.85651697699890472</v>
      </c>
      <c r="C2" s="144">
        <f>E2-[1]Netherlands!E2</f>
        <v>-1240</v>
      </c>
      <c r="D2" s="13">
        <f>F2-[1]Netherlands!F2</f>
        <v>-1160.0999999999999</v>
      </c>
      <c r="E2" s="125">
        <v>131</v>
      </c>
      <c r="F2" s="13">
        <v>913</v>
      </c>
      <c r="G2" s="13">
        <v>58</v>
      </c>
      <c r="H2" s="84">
        <v>1082</v>
      </c>
      <c r="I2" s="84">
        <v>2244</v>
      </c>
      <c r="J2" s="84">
        <v>2148</v>
      </c>
      <c r="K2" s="13">
        <v>1000</v>
      </c>
      <c r="L2" s="13">
        <v>0</v>
      </c>
      <c r="M2" s="13">
        <v>1000</v>
      </c>
      <c r="N2" s="13">
        <v>1000</v>
      </c>
      <c r="O2" s="13">
        <v>1000</v>
      </c>
      <c r="P2" s="13">
        <v>5000</v>
      </c>
      <c r="Q2" s="13">
        <v>1000</v>
      </c>
      <c r="R2" s="37">
        <v>4000</v>
      </c>
    </row>
    <row r="3" spans="1:18" x14ac:dyDescent="0.2">
      <c r="A3" s="27" t="s">
        <v>2</v>
      </c>
      <c r="B3" s="35">
        <f t="shared" ref="B3:B8" si="0">(E3-F3)/F3</f>
        <v>0.90036638695189697</v>
      </c>
      <c r="C3" s="144">
        <f>E3-[1]Netherlands!E3</f>
        <v>-13062</v>
      </c>
      <c r="D3" s="13">
        <f>F3-[1]Netherlands!F3</f>
        <v>-13381.099999999999</v>
      </c>
      <c r="E3" s="125">
        <v>32158</v>
      </c>
      <c r="F3" s="13">
        <v>16922</v>
      </c>
      <c r="G3" s="13">
        <v>12763</v>
      </c>
      <c r="H3" s="84">
        <v>28585</v>
      </c>
      <c r="I3" s="84">
        <v>32577</v>
      </c>
      <c r="J3" s="84">
        <v>36284</v>
      </c>
      <c r="K3" s="13">
        <v>28000</v>
      </c>
      <c r="L3" s="13">
        <v>21000</v>
      </c>
      <c r="M3" s="13">
        <v>35000</v>
      </c>
      <c r="N3" s="13">
        <v>22000</v>
      </c>
      <c r="O3" s="13">
        <v>37000</v>
      </c>
      <c r="P3" s="13">
        <v>32000</v>
      </c>
      <c r="Q3" s="13">
        <v>33000</v>
      </c>
      <c r="R3" s="37">
        <v>28000</v>
      </c>
    </row>
    <row r="4" spans="1:18" x14ac:dyDescent="0.2">
      <c r="A4" s="27" t="s">
        <v>3</v>
      </c>
      <c r="B4" s="35">
        <f t="shared" si="0"/>
        <v>-0.26690312569275104</v>
      </c>
      <c r="C4" s="144">
        <f>E4-[1]Netherlands!E4</f>
        <v>-591</v>
      </c>
      <c r="D4" s="13">
        <f>F4-[1]Netherlands!F4</f>
        <v>-583.10000000000036</v>
      </c>
      <c r="E4" s="125">
        <v>3307</v>
      </c>
      <c r="F4" s="13">
        <v>4511</v>
      </c>
      <c r="G4" s="13">
        <v>5054</v>
      </c>
      <c r="H4" s="84">
        <v>6566</v>
      </c>
      <c r="I4" s="84">
        <v>9155</v>
      </c>
      <c r="J4" s="84">
        <v>9508</v>
      </c>
      <c r="K4" s="13">
        <v>11000</v>
      </c>
      <c r="L4" s="13">
        <v>9000</v>
      </c>
      <c r="M4" s="13">
        <v>9000</v>
      </c>
      <c r="N4" s="13">
        <v>8000</v>
      </c>
      <c r="O4" s="13">
        <v>10000</v>
      </c>
      <c r="P4" s="13">
        <v>12000</v>
      </c>
      <c r="Q4" s="13">
        <v>11000</v>
      </c>
      <c r="R4" s="37">
        <v>12000</v>
      </c>
    </row>
    <row r="5" spans="1:18" x14ac:dyDescent="0.2">
      <c r="A5" s="29" t="s">
        <v>107</v>
      </c>
      <c r="B5" s="35">
        <f t="shared" si="0"/>
        <v>-1.3291706593304689E-2</v>
      </c>
      <c r="C5" s="144">
        <f>E5-[1]Netherlands!E5</f>
        <v>-4563</v>
      </c>
      <c r="D5" s="13">
        <f>F5-[1]Netherlands!F5</f>
        <v>-4393.0999999999985</v>
      </c>
      <c r="E5" s="125">
        <v>31921</v>
      </c>
      <c r="F5" s="13">
        <v>32351</v>
      </c>
      <c r="G5" s="13">
        <v>25649</v>
      </c>
      <c r="H5" s="135">
        <v>47537</v>
      </c>
      <c r="I5" s="135">
        <v>45225</v>
      </c>
      <c r="J5" s="135">
        <v>50505</v>
      </c>
      <c r="K5" s="97">
        <v>49000</v>
      </c>
      <c r="L5" s="97">
        <v>42000</v>
      </c>
      <c r="M5" s="97">
        <v>73000</v>
      </c>
      <c r="N5" s="97">
        <v>41000</v>
      </c>
      <c r="O5" s="97">
        <v>66000</v>
      </c>
      <c r="P5" s="97">
        <v>68000</v>
      </c>
      <c r="Q5" s="13">
        <v>67000</v>
      </c>
      <c r="R5" s="37">
        <v>58000</v>
      </c>
    </row>
    <row r="6" spans="1:18" x14ac:dyDescent="0.2">
      <c r="A6" s="82" t="s">
        <v>134</v>
      </c>
      <c r="B6" s="35">
        <f t="shared" si="0"/>
        <v>-9.0677966101694915E-2</v>
      </c>
      <c r="C6" s="144">
        <f>E6-[1]Netherlands!E6</f>
        <v>-4426</v>
      </c>
      <c r="D6" s="13">
        <f>F6-[1]Netherlands!F6</f>
        <v>-3031.0999999999985</v>
      </c>
      <c r="E6" s="125">
        <v>18241</v>
      </c>
      <c r="F6" s="13">
        <v>20060</v>
      </c>
      <c r="G6" s="13">
        <v>8478</v>
      </c>
      <c r="H6" s="135">
        <v>19933</v>
      </c>
      <c r="I6" s="135">
        <v>16061</v>
      </c>
      <c r="J6" s="135">
        <v>16145</v>
      </c>
      <c r="K6" s="97">
        <v>12000</v>
      </c>
      <c r="L6" s="97"/>
      <c r="M6" s="97"/>
      <c r="N6" s="97"/>
      <c r="O6" s="97"/>
      <c r="P6" s="97"/>
      <c r="Q6" s="13"/>
      <c r="R6" s="37"/>
    </row>
    <row r="7" spans="1:18" ht="13.5" thickBot="1" x14ac:dyDescent="0.25">
      <c r="A7" s="29" t="s">
        <v>59</v>
      </c>
      <c r="B7" s="35">
        <f t="shared" si="0"/>
        <v>-8.6261143156790773E-2</v>
      </c>
      <c r="C7" s="144">
        <f>E7-[1]Netherlands!E7</f>
        <v>-1573</v>
      </c>
      <c r="D7" s="13">
        <f>F7-[1]Netherlands!F7</f>
        <v>-1621</v>
      </c>
      <c r="E7" s="125">
        <v>3485</v>
      </c>
      <c r="F7" s="13">
        <v>3814</v>
      </c>
      <c r="G7" s="13">
        <v>3911</v>
      </c>
      <c r="H7" s="135">
        <v>4015</v>
      </c>
      <c r="I7" s="135">
        <v>3067</v>
      </c>
      <c r="J7" s="135">
        <v>4023</v>
      </c>
      <c r="K7" s="97">
        <v>5000</v>
      </c>
      <c r="L7" s="97">
        <v>12000</v>
      </c>
      <c r="M7" s="97">
        <v>14000</v>
      </c>
      <c r="N7" s="97">
        <v>13000</v>
      </c>
      <c r="O7" s="97">
        <v>11000</v>
      </c>
      <c r="P7" s="97">
        <v>3000</v>
      </c>
      <c r="Q7" s="13">
        <v>1000</v>
      </c>
      <c r="R7" s="37">
        <v>3000</v>
      </c>
    </row>
    <row r="8" spans="1:18" ht="13.5" thickBot="1" x14ac:dyDescent="0.25">
      <c r="A8" s="151" t="s">
        <v>23</v>
      </c>
      <c r="B8" s="160">
        <f t="shared" si="0"/>
        <v>0.13582619541561136</v>
      </c>
      <c r="C8" s="171">
        <f>E8-[1]Netherlands!E8</f>
        <v>-25455</v>
      </c>
      <c r="D8" s="106">
        <f>F8-[1]Netherlands!F8</f>
        <v>-24169.5</v>
      </c>
      <c r="E8" s="58">
        <f t="shared" ref="E8:J8" si="1">SUM(E2:E7)</f>
        <v>89243</v>
      </c>
      <c r="F8" s="106">
        <f t="shared" si="1"/>
        <v>78571</v>
      </c>
      <c r="G8" s="106">
        <f t="shared" si="1"/>
        <v>55913</v>
      </c>
      <c r="H8" s="106">
        <f t="shared" si="1"/>
        <v>107718</v>
      </c>
      <c r="I8" s="106">
        <f t="shared" si="1"/>
        <v>108329</v>
      </c>
      <c r="J8" s="106">
        <f t="shared" si="1"/>
        <v>118613</v>
      </c>
      <c r="K8" s="106">
        <f t="shared" ref="K8:R8" si="2">SUM(K2:K7)</f>
        <v>106000</v>
      </c>
      <c r="L8" s="106">
        <f t="shared" si="2"/>
        <v>84000</v>
      </c>
      <c r="M8" s="106">
        <f t="shared" si="2"/>
        <v>132000</v>
      </c>
      <c r="N8" s="106">
        <f t="shared" si="2"/>
        <v>85000</v>
      </c>
      <c r="O8" s="106">
        <f t="shared" si="2"/>
        <v>125000</v>
      </c>
      <c r="P8" s="106">
        <f t="shared" si="2"/>
        <v>120000</v>
      </c>
      <c r="Q8" s="106">
        <f t="shared" si="2"/>
        <v>113000</v>
      </c>
      <c r="R8" s="152">
        <f t="shared" si="2"/>
        <v>105000</v>
      </c>
    </row>
    <row r="9" spans="1:18" s="9" customFormat="1" x14ac:dyDescent="0.2">
      <c r="B9" s="44"/>
      <c r="C9" s="44"/>
      <c r="D9" s="44"/>
      <c r="E9" s="44"/>
      <c r="F9" s="44"/>
      <c r="G9" s="44"/>
      <c r="H9" s="44"/>
      <c r="I9" s="12"/>
      <c r="J9" s="12"/>
      <c r="K9" s="12"/>
      <c r="L9" s="12"/>
      <c r="M9" s="12"/>
      <c r="N9" s="12"/>
      <c r="O9" s="12"/>
      <c r="P9" s="12"/>
    </row>
    <row r="10" spans="1:18" s="9" customFormat="1" ht="13.5" thickBot="1" x14ac:dyDescent="0.25">
      <c r="B10" s="44"/>
      <c r="C10" s="44"/>
      <c r="D10" s="44"/>
      <c r="E10" s="44"/>
      <c r="F10" s="44"/>
      <c r="G10" s="44"/>
      <c r="H10" s="44"/>
      <c r="I10" s="12"/>
      <c r="J10" s="12"/>
      <c r="K10" s="12"/>
      <c r="L10" s="12"/>
      <c r="M10" s="12"/>
      <c r="N10" s="12"/>
      <c r="O10" s="12"/>
      <c r="P10" s="12"/>
    </row>
    <row r="11" spans="1:18" s="16" customFormat="1" ht="13.5" thickBot="1" x14ac:dyDescent="0.25">
      <c r="A11" s="31" t="s">
        <v>25</v>
      </c>
      <c r="B11" s="32" t="s">
        <v>174</v>
      </c>
      <c r="C11" s="62" t="s">
        <v>173</v>
      </c>
      <c r="D11" s="96" t="s">
        <v>168</v>
      </c>
      <c r="E11" s="128">
        <v>43922</v>
      </c>
      <c r="F11" s="136">
        <v>43556</v>
      </c>
      <c r="G11" s="136">
        <v>43191</v>
      </c>
      <c r="H11" s="33">
        <v>42826</v>
      </c>
      <c r="I11" s="33">
        <v>42461</v>
      </c>
      <c r="J11" s="33">
        <v>42095</v>
      </c>
      <c r="K11" s="33">
        <v>41730</v>
      </c>
      <c r="L11" s="33">
        <v>41365</v>
      </c>
      <c r="M11" s="33">
        <v>41000</v>
      </c>
      <c r="N11" s="33">
        <v>40634</v>
      </c>
      <c r="O11" s="33">
        <v>40269</v>
      </c>
      <c r="P11" s="33">
        <v>39904</v>
      </c>
      <c r="Q11" s="33">
        <v>39539</v>
      </c>
      <c r="R11" s="34">
        <v>39173</v>
      </c>
    </row>
    <row r="12" spans="1:18" x14ac:dyDescent="0.2">
      <c r="A12" s="27" t="s">
        <v>7</v>
      </c>
      <c r="B12" s="35">
        <f>(E12-F12)/F12</f>
        <v>-0.14468322849739434</v>
      </c>
      <c r="C12" s="144">
        <f>E12-[1]Netherlands!E12</f>
        <v>-26199</v>
      </c>
      <c r="D12" s="13">
        <f>F12-[1]Netherlands!F12</f>
        <v>-29530</v>
      </c>
      <c r="E12" s="125">
        <v>88793</v>
      </c>
      <c r="F12" s="13">
        <v>103813</v>
      </c>
      <c r="G12" s="13">
        <v>90947</v>
      </c>
      <c r="H12" s="84">
        <v>97997</v>
      </c>
      <c r="I12" s="84">
        <v>99846</v>
      </c>
      <c r="J12" s="84">
        <v>91241</v>
      </c>
      <c r="K12" s="13">
        <v>80000</v>
      </c>
      <c r="L12" s="13">
        <v>42000</v>
      </c>
      <c r="M12" s="13">
        <v>75000</v>
      </c>
      <c r="N12" s="13">
        <v>59000</v>
      </c>
      <c r="O12" s="13">
        <v>64000</v>
      </c>
      <c r="P12" s="13">
        <v>22000</v>
      </c>
      <c r="Q12" s="13">
        <v>41000</v>
      </c>
      <c r="R12" s="37">
        <v>47000</v>
      </c>
    </row>
    <row r="13" spans="1:18" x14ac:dyDescent="0.2">
      <c r="A13" s="27" t="s">
        <v>100</v>
      </c>
      <c r="B13" s="35"/>
      <c r="C13" s="144">
        <f>E13-[1]Netherlands!E13</f>
        <v>-445</v>
      </c>
      <c r="D13" s="13">
        <f>F13-[1]Netherlands!F13</f>
        <v>-2320</v>
      </c>
      <c r="E13" s="125"/>
      <c r="F13" s="13">
        <v>0</v>
      </c>
      <c r="G13" s="13">
        <v>0</v>
      </c>
      <c r="H13" s="84">
        <v>35</v>
      </c>
      <c r="I13" s="84">
        <v>20</v>
      </c>
      <c r="J13" s="84">
        <v>274</v>
      </c>
      <c r="K13" s="13">
        <v>200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37">
        <v>0</v>
      </c>
    </row>
    <row r="14" spans="1:18" ht="13.5" thickBot="1" x14ac:dyDescent="0.25">
      <c r="A14" s="27" t="s">
        <v>6</v>
      </c>
      <c r="B14" s="35">
        <f>(E14-F14)/F14</f>
        <v>-0.34242265338227584</v>
      </c>
      <c r="C14" s="144">
        <f>E14-[1]Netherlands!E14</f>
        <v>-3314</v>
      </c>
      <c r="D14" s="13">
        <f>F14-[1]Netherlands!F14</f>
        <v>-3937</v>
      </c>
      <c r="E14" s="125">
        <v>2508</v>
      </c>
      <c r="F14" s="13">
        <v>3814</v>
      </c>
      <c r="G14" s="13">
        <v>1484</v>
      </c>
      <c r="H14" s="84">
        <v>1837</v>
      </c>
      <c r="I14" s="84">
        <v>1503</v>
      </c>
      <c r="J14" s="84">
        <v>748</v>
      </c>
      <c r="K14" s="13">
        <v>4000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37">
        <v>0</v>
      </c>
    </row>
    <row r="15" spans="1:18" ht="13.5" thickBot="1" x14ac:dyDescent="0.25">
      <c r="A15" s="31" t="s">
        <v>23</v>
      </c>
      <c r="B15" s="160">
        <f>(E15-F15)/F15</f>
        <v>-0.15169056091872857</v>
      </c>
      <c r="C15" s="171">
        <f>E15-[1]Netherlands!E15</f>
        <v>-29958</v>
      </c>
      <c r="D15" s="106">
        <f>F15-[1]Netherlands!F15</f>
        <v>-35787</v>
      </c>
      <c r="E15" s="58">
        <f>SUM(E12:E14)</f>
        <v>91301</v>
      </c>
      <c r="F15" s="106">
        <f>SUM(F12:F14)</f>
        <v>107627</v>
      </c>
      <c r="G15" s="106">
        <f t="shared" ref="G15:L15" si="3">SUM(G12:G14)</f>
        <v>92431</v>
      </c>
      <c r="H15" s="106">
        <f t="shared" si="3"/>
        <v>99869</v>
      </c>
      <c r="I15" s="106">
        <f t="shared" si="3"/>
        <v>101369</v>
      </c>
      <c r="J15" s="106">
        <f t="shared" si="3"/>
        <v>92263</v>
      </c>
      <c r="K15" s="106">
        <f t="shared" si="3"/>
        <v>84200</v>
      </c>
      <c r="L15" s="106">
        <f t="shared" si="3"/>
        <v>42000</v>
      </c>
      <c r="M15" s="106">
        <f t="shared" ref="M15:R15" si="4">SUM(M12:M14)</f>
        <v>75000</v>
      </c>
      <c r="N15" s="106">
        <f t="shared" si="4"/>
        <v>59000</v>
      </c>
      <c r="O15" s="106">
        <f t="shared" si="4"/>
        <v>64000</v>
      </c>
      <c r="P15" s="106">
        <f t="shared" si="4"/>
        <v>22000</v>
      </c>
      <c r="Q15" s="106">
        <f t="shared" si="4"/>
        <v>41000</v>
      </c>
      <c r="R15" s="152">
        <f t="shared" si="4"/>
        <v>47000</v>
      </c>
    </row>
    <row r="22" spans="17:19" ht="18" x14ac:dyDescent="0.25">
      <c r="Q22" s="5"/>
      <c r="R22" s="1"/>
      <c r="S22" s="1"/>
    </row>
    <row r="23" spans="17:19" ht="18" x14ac:dyDescent="0.25">
      <c r="Q23" s="5"/>
      <c r="R23" s="1"/>
      <c r="S23" s="1"/>
    </row>
    <row r="24" spans="17:19" ht="18" x14ac:dyDescent="0.25">
      <c r="Q24" s="5"/>
      <c r="R24" s="1"/>
      <c r="S24" s="1"/>
    </row>
    <row r="25" spans="17:19" ht="18" x14ac:dyDescent="0.25">
      <c r="Q25" s="5"/>
      <c r="R25" s="1"/>
      <c r="S25" s="1"/>
    </row>
    <row r="26" spans="17:19" ht="18" x14ac:dyDescent="0.25">
      <c r="Q26" s="5"/>
      <c r="R26" s="1"/>
      <c r="S26" s="1"/>
    </row>
    <row r="27" spans="17:19" ht="18" x14ac:dyDescent="0.25">
      <c r="Q27" s="5"/>
      <c r="R27" s="1"/>
      <c r="S27" s="1"/>
    </row>
    <row r="28" spans="17:19" ht="18" x14ac:dyDescent="0.25">
      <c r="Q28" s="5"/>
      <c r="R28" s="1"/>
      <c r="S28" s="1"/>
    </row>
    <row r="29" spans="17:19" ht="18" x14ac:dyDescent="0.25">
      <c r="Q29" s="5"/>
      <c r="R29" s="1"/>
      <c r="S29" s="1"/>
    </row>
    <row r="30" spans="17:19" ht="18" x14ac:dyDescent="0.25">
      <c r="Q30" s="5"/>
      <c r="R30" s="1"/>
      <c r="S30" s="1"/>
    </row>
    <row r="31" spans="17:19" ht="18" x14ac:dyDescent="0.25">
      <c r="Q31" s="5"/>
      <c r="R31" s="1"/>
      <c r="S31" s="1"/>
    </row>
    <row r="32" spans="17:19" ht="18" x14ac:dyDescent="0.25">
      <c r="Q32" s="6"/>
      <c r="R32" s="1"/>
      <c r="S32" s="1"/>
    </row>
    <row r="33" spans="17:19" ht="18.75" x14ac:dyDescent="0.3">
      <c r="Q33" s="7"/>
      <c r="R33" s="2"/>
      <c r="S33" s="2"/>
    </row>
  </sheetData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tabSelected="1" zoomScale="115" zoomScaleNormal="115" workbookViewId="0">
      <selection activeCell="E27" sqref="E27"/>
    </sheetView>
  </sheetViews>
  <sheetFormatPr defaultRowHeight="12.75" x14ac:dyDescent="0.2"/>
  <cols>
    <col min="1" max="1" width="24.7109375" customWidth="1"/>
    <col min="2" max="2" width="10.7109375" customWidth="1"/>
    <col min="3" max="3" width="11.5703125" bestFit="1" customWidth="1"/>
    <col min="4" max="4" width="11.5703125" style="9" bestFit="1" customWidth="1"/>
    <col min="5" max="7" width="11.5703125" style="9" customWidth="1"/>
    <col min="8" max="8" width="10.7109375" customWidth="1"/>
    <col min="9" max="16" width="10.140625" style="9" bestFit="1" customWidth="1"/>
    <col min="17" max="18" width="10.140625" bestFit="1" customWidth="1"/>
  </cols>
  <sheetData>
    <row r="1" spans="1:19" ht="13.5" thickBot="1" x14ac:dyDescent="0.25">
      <c r="A1" s="52" t="s">
        <v>91</v>
      </c>
      <c r="B1" s="32" t="s">
        <v>174</v>
      </c>
      <c r="C1" s="62" t="s">
        <v>173</v>
      </c>
      <c r="D1" s="96" t="s">
        <v>168</v>
      </c>
      <c r="E1" s="128">
        <v>43922</v>
      </c>
      <c r="F1" s="136">
        <v>43556</v>
      </c>
      <c r="G1" s="136">
        <v>43191</v>
      </c>
      <c r="H1" s="33">
        <v>42826</v>
      </c>
      <c r="I1" s="33">
        <v>42461</v>
      </c>
      <c r="J1" s="33">
        <v>42095</v>
      </c>
      <c r="K1" s="33">
        <v>41730</v>
      </c>
      <c r="L1" s="33">
        <v>41365</v>
      </c>
      <c r="M1" s="33">
        <v>41000</v>
      </c>
      <c r="N1" s="33">
        <v>40634</v>
      </c>
      <c r="O1" s="33">
        <v>40269</v>
      </c>
      <c r="P1" s="33">
        <v>39904</v>
      </c>
      <c r="Q1" s="33">
        <v>39539</v>
      </c>
      <c r="R1" s="34">
        <v>39173</v>
      </c>
    </row>
    <row r="2" spans="1:19" x14ac:dyDescent="0.2">
      <c r="A2" s="53" t="s">
        <v>11</v>
      </c>
      <c r="B2" s="60">
        <f>(E2-F2)/F2</f>
        <v>3.6753144654088049E-2</v>
      </c>
      <c r="C2" s="145">
        <f>E2-[1]UK!E2</f>
        <v>-5564</v>
      </c>
      <c r="D2" s="84">
        <f>F2-[1]UK!F2</f>
        <v>-4537</v>
      </c>
      <c r="E2" s="56">
        <v>5275</v>
      </c>
      <c r="F2" s="84">
        <v>5088</v>
      </c>
      <c r="G2" s="84">
        <v>1622</v>
      </c>
      <c r="H2" s="84">
        <v>5410</v>
      </c>
      <c r="I2" s="84">
        <v>4950</v>
      </c>
      <c r="J2" s="84">
        <v>2700</v>
      </c>
      <c r="K2" s="84">
        <v>3800</v>
      </c>
      <c r="L2" s="84">
        <v>300</v>
      </c>
      <c r="M2" s="84">
        <v>3200</v>
      </c>
      <c r="N2" s="84">
        <v>2000</v>
      </c>
      <c r="O2" s="84">
        <v>1800</v>
      </c>
      <c r="P2" s="84">
        <v>1000</v>
      </c>
      <c r="Q2" s="51">
        <v>900</v>
      </c>
      <c r="R2" s="78">
        <v>0</v>
      </c>
    </row>
    <row r="3" spans="1:19" x14ac:dyDescent="0.2">
      <c r="A3" s="53" t="s">
        <v>36</v>
      </c>
      <c r="B3" s="60">
        <f t="shared" ref="B3:B12" si="0">(E3-F3)/F3</f>
        <v>-0.41010101010101008</v>
      </c>
      <c r="C3" s="145">
        <f>E3-[1]UK!E3</f>
        <v>-7392</v>
      </c>
      <c r="D3" s="84">
        <f>F3-[1]UK!F3</f>
        <v>-6200</v>
      </c>
      <c r="E3" s="56">
        <v>11680</v>
      </c>
      <c r="F3" s="84">
        <v>19800</v>
      </c>
      <c r="G3" s="84">
        <v>18000</v>
      </c>
      <c r="H3" s="84">
        <v>19850</v>
      </c>
      <c r="I3" s="84">
        <v>16000</v>
      </c>
      <c r="J3" s="84">
        <v>29000</v>
      </c>
      <c r="K3" s="84">
        <v>26000</v>
      </c>
      <c r="L3" s="84">
        <v>10000</v>
      </c>
      <c r="M3" s="84">
        <v>25000</v>
      </c>
      <c r="N3" s="84">
        <v>26000</v>
      </c>
      <c r="O3" s="84">
        <v>26000</v>
      </c>
      <c r="P3" s="84">
        <v>28000</v>
      </c>
      <c r="Q3" s="51">
        <v>20000</v>
      </c>
      <c r="R3" s="78">
        <v>25000</v>
      </c>
    </row>
    <row r="4" spans="1:19" x14ac:dyDescent="0.2">
      <c r="A4" s="53" t="s">
        <v>29</v>
      </c>
      <c r="B4" s="60">
        <f t="shared" si="0"/>
        <v>-0.54642313546423138</v>
      </c>
      <c r="C4" s="145">
        <f>E4-[1]UK!E4</f>
        <v>-878</v>
      </c>
      <c r="D4" s="84">
        <f>F4-[1]UK!F4</f>
        <v>-479</v>
      </c>
      <c r="E4" s="56">
        <v>596</v>
      </c>
      <c r="F4" s="84">
        <v>1314</v>
      </c>
      <c r="G4" s="84">
        <v>256</v>
      </c>
      <c r="H4" s="84">
        <v>0</v>
      </c>
      <c r="I4" s="84">
        <v>1100</v>
      </c>
      <c r="J4" s="84">
        <v>300</v>
      </c>
      <c r="K4" s="84">
        <v>300</v>
      </c>
      <c r="L4" s="84">
        <v>0</v>
      </c>
      <c r="M4" s="84">
        <v>0</v>
      </c>
      <c r="N4" s="84">
        <v>0</v>
      </c>
      <c r="O4" s="84">
        <v>200</v>
      </c>
      <c r="P4" s="84">
        <v>0</v>
      </c>
      <c r="Q4" s="51">
        <v>0</v>
      </c>
      <c r="R4" s="78">
        <v>0</v>
      </c>
    </row>
    <row r="5" spans="1:19" x14ac:dyDescent="0.2">
      <c r="A5" s="53" t="s">
        <v>5</v>
      </c>
      <c r="B5" s="60">
        <f t="shared" si="0"/>
        <v>-0.59493670886075944</v>
      </c>
      <c r="C5" s="145">
        <f>E5-[1]UK!E5</f>
        <v>-1054</v>
      </c>
      <c r="D5" s="84">
        <f>F5-[1]UK!F5</f>
        <v>-1448</v>
      </c>
      <c r="E5" s="56">
        <v>128</v>
      </c>
      <c r="F5" s="84">
        <v>316</v>
      </c>
      <c r="G5" s="84">
        <v>53</v>
      </c>
      <c r="H5" s="84">
        <v>210</v>
      </c>
      <c r="I5" s="84">
        <v>1700</v>
      </c>
      <c r="J5" s="84">
        <v>0</v>
      </c>
      <c r="K5" s="84">
        <v>1900</v>
      </c>
      <c r="L5" s="84">
        <v>100</v>
      </c>
      <c r="M5" s="84">
        <v>1400</v>
      </c>
      <c r="N5" s="84">
        <v>1000</v>
      </c>
      <c r="O5" s="84">
        <v>1200</v>
      </c>
      <c r="P5" s="84">
        <v>700</v>
      </c>
      <c r="Q5" s="51">
        <v>1000</v>
      </c>
      <c r="R5" s="78">
        <v>0</v>
      </c>
    </row>
    <row r="6" spans="1:19" x14ac:dyDescent="0.2">
      <c r="A6" s="53" t="s">
        <v>9</v>
      </c>
      <c r="B6" s="60">
        <f t="shared" si="0"/>
        <v>0.11070280202112999</v>
      </c>
      <c r="C6" s="145">
        <f>E6-[1]UK!E6</f>
        <v>-8967</v>
      </c>
      <c r="D6" s="84">
        <f>F6-[1]UK!F6</f>
        <v>-8037</v>
      </c>
      <c r="E6" s="56">
        <v>12090</v>
      </c>
      <c r="F6" s="84">
        <v>10885</v>
      </c>
      <c r="G6" s="84">
        <v>6540</v>
      </c>
      <c r="H6" s="84">
        <v>5540</v>
      </c>
      <c r="I6" s="84">
        <v>10100</v>
      </c>
      <c r="J6" s="84">
        <v>1400</v>
      </c>
      <c r="K6" s="84">
        <v>3700</v>
      </c>
      <c r="L6" s="84">
        <v>1500</v>
      </c>
      <c r="M6" s="84">
        <v>2200</v>
      </c>
      <c r="N6" s="84">
        <v>1000</v>
      </c>
      <c r="O6" s="84">
        <v>800</v>
      </c>
      <c r="P6" s="84">
        <v>100</v>
      </c>
      <c r="Q6" s="51">
        <v>0</v>
      </c>
      <c r="R6" s="78">
        <v>0</v>
      </c>
    </row>
    <row r="7" spans="1:19" x14ac:dyDescent="0.2">
      <c r="A7" s="53" t="s">
        <v>27</v>
      </c>
      <c r="B7" s="60">
        <f t="shared" si="0"/>
        <v>-1</v>
      </c>
      <c r="C7" s="145">
        <f>E7-[1]UK!E7</f>
        <v>-56</v>
      </c>
      <c r="D7" s="84">
        <f>F7-[1]UK!F7</f>
        <v>-16</v>
      </c>
      <c r="E7" s="56"/>
      <c r="F7" s="84">
        <v>84</v>
      </c>
      <c r="G7" s="84">
        <v>0</v>
      </c>
      <c r="H7" s="84">
        <v>0</v>
      </c>
      <c r="I7" s="84">
        <v>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51">
        <v>0</v>
      </c>
      <c r="R7" s="78">
        <v>0</v>
      </c>
      <c r="S7" s="1"/>
    </row>
    <row r="8" spans="1:19" x14ac:dyDescent="0.2">
      <c r="A8" s="53" t="s">
        <v>26</v>
      </c>
      <c r="B8" s="60"/>
      <c r="C8" s="145">
        <f>E8-[1]UK!E8</f>
        <v>0</v>
      </c>
      <c r="D8" s="84">
        <f>F8-[1]UK!F8</f>
        <v>0</v>
      </c>
      <c r="E8" s="56"/>
      <c r="F8" s="84"/>
      <c r="G8" s="84">
        <v>256</v>
      </c>
      <c r="H8" s="84">
        <v>0</v>
      </c>
      <c r="I8" s="84">
        <v>0</v>
      </c>
      <c r="J8" s="84">
        <v>0</v>
      </c>
      <c r="K8" s="84">
        <v>0</v>
      </c>
      <c r="L8" s="84">
        <v>0</v>
      </c>
      <c r="M8" s="84">
        <v>0</v>
      </c>
      <c r="N8" s="84">
        <v>500</v>
      </c>
      <c r="O8" s="84">
        <v>700</v>
      </c>
      <c r="P8" s="84">
        <v>500</v>
      </c>
      <c r="Q8" s="51">
        <v>0</v>
      </c>
      <c r="R8" s="78">
        <v>0</v>
      </c>
    </row>
    <row r="9" spans="1:19" x14ac:dyDescent="0.2">
      <c r="A9" s="53" t="s">
        <v>35</v>
      </c>
      <c r="B9" s="60"/>
      <c r="C9" s="145">
        <f>E9-[1]UK!E9</f>
        <v>-80</v>
      </c>
      <c r="D9" s="84">
        <f>F9-[1]UK!F9</f>
        <v>-85</v>
      </c>
      <c r="E9" s="56"/>
      <c r="F9" s="84"/>
      <c r="G9" s="84">
        <v>0</v>
      </c>
      <c r="H9" s="84">
        <v>0</v>
      </c>
      <c r="I9" s="84">
        <v>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51">
        <v>0</v>
      </c>
      <c r="R9" s="78">
        <v>0</v>
      </c>
    </row>
    <row r="10" spans="1:19" x14ac:dyDescent="0.2">
      <c r="A10" s="53" t="s">
        <v>134</v>
      </c>
      <c r="B10" s="60">
        <f t="shared" si="0"/>
        <v>-0.63140556368960465</v>
      </c>
      <c r="C10" s="145">
        <f>E10-[1]UK!E10</f>
        <v>-3707</v>
      </c>
      <c r="D10" s="84">
        <f>F10-[1]UK!F10</f>
        <v>-1768</v>
      </c>
      <c r="E10" s="56">
        <v>1007</v>
      </c>
      <c r="F10" s="84">
        <v>2732</v>
      </c>
      <c r="G10" s="84">
        <v>1359</v>
      </c>
      <c r="H10" s="84">
        <v>0</v>
      </c>
      <c r="I10" s="84">
        <v>3200</v>
      </c>
      <c r="J10" s="84">
        <v>2000</v>
      </c>
      <c r="K10" s="84">
        <v>1500</v>
      </c>
      <c r="L10" s="84">
        <v>500</v>
      </c>
      <c r="M10" s="84">
        <v>300</v>
      </c>
      <c r="N10" s="84">
        <v>1000</v>
      </c>
      <c r="O10" s="84">
        <v>800</v>
      </c>
      <c r="P10" s="84"/>
      <c r="Q10" s="51">
        <v>600</v>
      </c>
      <c r="R10" s="78">
        <v>0</v>
      </c>
    </row>
    <row r="11" spans="1:19" ht="13.5" thickBot="1" x14ac:dyDescent="0.25">
      <c r="A11" s="53" t="s">
        <v>6</v>
      </c>
      <c r="B11" s="60">
        <f t="shared" si="0"/>
        <v>0.49794661190965095</v>
      </c>
      <c r="C11" s="145">
        <f>E11-[1]UK!E11</f>
        <v>37</v>
      </c>
      <c r="D11" s="84">
        <f>F11-[1]UK!F11</f>
        <v>-604</v>
      </c>
      <c r="E11" s="56">
        <v>1459</v>
      </c>
      <c r="F11" s="84">
        <v>974</v>
      </c>
      <c r="G11" s="84">
        <v>0</v>
      </c>
      <c r="H11" s="84">
        <v>2410</v>
      </c>
      <c r="I11" s="84">
        <v>0</v>
      </c>
      <c r="J11" s="84">
        <v>0</v>
      </c>
      <c r="K11" s="84">
        <v>300</v>
      </c>
      <c r="L11" s="84">
        <v>0</v>
      </c>
      <c r="M11" s="84">
        <v>0</v>
      </c>
      <c r="N11" s="84">
        <v>0</v>
      </c>
      <c r="O11" s="84">
        <v>0</v>
      </c>
      <c r="P11" s="84">
        <v>700</v>
      </c>
      <c r="Q11" s="51">
        <v>0</v>
      </c>
      <c r="R11" s="78">
        <v>0</v>
      </c>
    </row>
    <row r="12" spans="1:19" ht="13.5" thickBot="1" x14ac:dyDescent="0.25">
      <c r="A12" s="52" t="s">
        <v>92</v>
      </c>
      <c r="B12" s="153">
        <f t="shared" si="0"/>
        <v>-0.21746413225548031</v>
      </c>
      <c r="C12" s="147">
        <f>E12-[1]UK!E12</f>
        <v>-27661</v>
      </c>
      <c r="D12" s="106">
        <f>F12-[1]UK!F12</f>
        <v>-23174</v>
      </c>
      <c r="E12" s="58">
        <f>SUM(E2:E11)</f>
        <v>32235</v>
      </c>
      <c r="F12" s="106">
        <f>SUM(F2:F11)</f>
        <v>41193</v>
      </c>
      <c r="G12" s="106">
        <f>SUM(G2:G11)</f>
        <v>28086</v>
      </c>
      <c r="H12" s="106">
        <f>SUM(H2:H11)</f>
        <v>33420</v>
      </c>
      <c r="I12" s="106">
        <f>SUM(I2:I11)</f>
        <v>37050</v>
      </c>
      <c r="J12" s="106">
        <v>35400</v>
      </c>
      <c r="K12" s="106">
        <f>SUM(K2:K11)</f>
        <v>37500</v>
      </c>
      <c r="L12" s="106">
        <f>SUM(L2:L11)</f>
        <v>12400</v>
      </c>
      <c r="M12" s="106">
        <f t="shared" ref="M12:R12" si="1">SUM(M2:M11)</f>
        <v>32100</v>
      </c>
      <c r="N12" s="106">
        <f t="shared" si="1"/>
        <v>31500</v>
      </c>
      <c r="O12" s="106">
        <f t="shared" si="1"/>
        <v>31500</v>
      </c>
      <c r="P12" s="106">
        <f t="shared" si="1"/>
        <v>31000</v>
      </c>
      <c r="Q12" s="59">
        <f t="shared" si="1"/>
        <v>22500</v>
      </c>
      <c r="R12" s="152">
        <f t="shared" si="1"/>
        <v>25000</v>
      </c>
    </row>
    <row r="13" spans="1:19" x14ac:dyDescent="0.2">
      <c r="H13" s="9"/>
    </row>
    <row r="14" spans="1:19" ht="13.5" thickBot="1" x14ac:dyDescent="0.25">
      <c r="B14" s="3"/>
      <c r="C14" s="3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3"/>
      <c r="R14" s="3"/>
    </row>
    <row r="15" spans="1:19" s="65" customFormat="1" ht="13.5" thickBot="1" x14ac:dyDescent="0.25">
      <c r="A15" s="64" t="s">
        <v>91</v>
      </c>
      <c r="B15" s="32" t="s">
        <v>174</v>
      </c>
      <c r="C15" s="62" t="s">
        <v>173</v>
      </c>
      <c r="D15" s="96" t="s">
        <v>168</v>
      </c>
      <c r="E15" s="128">
        <v>43922</v>
      </c>
      <c r="F15" s="136">
        <v>43556</v>
      </c>
      <c r="G15" s="136">
        <v>43191</v>
      </c>
      <c r="H15" s="33">
        <v>42826</v>
      </c>
      <c r="I15" s="33">
        <v>42461</v>
      </c>
      <c r="J15" s="33">
        <v>42095</v>
      </c>
      <c r="K15" s="33">
        <v>41730</v>
      </c>
      <c r="L15" s="33">
        <v>41365</v>
      </c>
      <c r="M15" s="33">
        <v>41000</v>
      </c>
      <c r="N15" s="33">
        <v>40634</v>
      </c>
      <c r="O15" s="33">
        <v>40269</v>
      </c>
      <c r="P15" s="33">
        <v>39904</v>
      </c>
      <c r="Q15" s="33">
        <v>39539</v>
      </c>
      <c r="R15" s="34">
        <v>39173</v>
      </c>
    </row>
    <row r="16" spans="1:19" s="63" customFormat="1" x14ac:dyDescent="0.2">
      <c r="A16" s="66" t="s">
        <v>7</v>
      </c>
      <c r="B16" s="67">
        <f>(E16-F16)/F16</f>
        <v>-0.97336884154460723</v>
      </c>
      <c r="C16" s="145">
        <f>E16-[1]UK!E16</f>
        <v>-1450</v>
      </c>
      <c r="D16" s="89">
        <f>F16-[1]UK!F16</f>
        <v>-2028</v>
      </c>
      <c r="E16" s="68">
        <v>20</v>
      </c>
      <c r="F16" s="89">
        <v>751</v>
      </c>
      <c r="G16" s="89">
        <v>898</v>
      </c>
      <c r="H16" s="89">
        <v>2150</v>
      </c>
      <c r="I16" s="89">
        <v>1850</v>
      </c>
      <c r="J16" s="89">
        <v>1500</v>
      </c>
      <c r="K16" s="89">
        <v>2800</v>
      </c>
      <c r="L16" s="89">
        <v>2500</v>
      </c>
      <c r="M16" s="89">
        <v>2500</v>
      </c>
      <c r="N16" s="89">
        <v>2500</v>
      </c>
      <c r="O16" s="89">
        <v>2900</v>
      </c>
      <c r="P16" s="89">
        <v>1000</v>
      </c>
      <c r="Q16" s="69">
        <v>800</v>
      </c>
      <c r="R16" s="79">
        <v>1000</v>
      </c>
    </row>
    <row r="17" spans="1:18" s="63" customFormat="1" x14ac:dyDescent="0.2">
      <c r="A17" s="66" t="s">
        <v>93</v>
      </c>
      <c r="B17" s="67"/>
      <c r="C17" s="145">
        <f>E17-[1]UK!E17</f>
        <v>0</v>
      </c>
      <c r="D17" s="89">
        <f>F17-[1]UK!F17</f>
        <v>-33</v>
      </c>
      <c r="E17" s="68"/>
      <c r="F17" s="89"/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89">
        <v>0</v>
      </c>
      <c r="Q17" s="69">
        <v>0</v>
      </c>
      <c r="R17" s="79">
        <v>0</v>
      </c>
    </row>
    <row r="18" spans="1:18" s="63" customFormat="1" ht="13.5" thickBot="1" x14ac:dyDescent="0.25">
      <c r="A18" s="66" t="s">
        <v>6</v>
      </c>
      <c r="B18" s="67"/>
      <c r="C18" s="145">
        <f>E18-[1]UK!E18</f>
        <v>-75</v>
      </c>
      <c r="D18" s="89">
        <f>F18-[1]UK!F18</f>
        <v>0</v>
      </c>
      <c r="E18" s="68">
        <v>30</v>
      </c>
      <c r="F18" s="89"/>
      <c r="G18" s="89">
        <v>0</v>
      </c>
      <c r="H18" s="89">
        <v>0</v>
      </c>
      <c r="I18" s="89"/>
      <c r="J18" s="89">
        <v>0</v>
      </c>
      <c r="K18" s="89">
        <v>0</v>
      </c>
      <c r="L18" s="89">
        <v>0</v>
      </c>
      <c r="M18" s="89">
        <v>0</v>
      </c>
      <c r="N18" s="89">
        <v>0</v>
      </c>
      <c r="O18" s="89">
        <v>0</v>
      </c>
      <c r="P18" s="89">
        <v>0</v>
      </c>
      <c r="Q18" s="69">
        <v>0</v>
      </c>
      <c r="R18" s="79">
        <v>0</v>
      </c>
    </row>
    <row r="19" spans="1:18" s="63" customFormat="1" ht="13.5" thickBot="1" x14ac:dyDescent="0.25">
      <c r="A19" s="64" t="s">
        <v>92</v>
      </c>
      <c r="B19" s="110">
        <f>(E19-F19)/F19</f>
        <v>-0.93342210386151803</v>
      </c>
      <c r="C19" s="147">
        <f>E19-[1]UK!E19</f>
        <v>-1525</v>
      </c>
      <c r="D19" s="102">
        <f>F19-[1]UK!F19</f>
        <v>-2061</v>
      </c>
      <c r="E19" s="76">
        <f>SUM(E16:E18)</f>
        <v>50</v>
      </c>
      <c r="F19" s="102">
        <f>SUM(F16:F18)</f>
        <v>751</v>
      </c>
      <c r="G19" s="102">
        <f>SUM(G16:G18)</f>
        <v>898</v>
      </c>
      <c r="H19" s="102">
        <f>SUM(H16:H18)</f>
        <v>2150</v>
      </c>
      <c r="I19" s="102">
        <f>SUM(I16:I18)</f>
        <v>1850</v>
      </c>
      <c r="J19" s="102">
        <v>1500</v>
      </c>
      <c r="K19" s="102">
        <f>SUM(K16:K18)</f>
        <v>2800</v>
      </c>
      <c r="L19" s="102">
        <f>SUM(L16:L18)</f>
        <v>2500</v>
      </c>
      <c r="M19" s="102">
        <f t="shared" ref="M19:R19" si="2">SUM(M16:M18)</f>
        <v>2500</v>
      </c>
      <c r="N19" s="102">
        <f t="shared" si="2"/>
        <v>2500</v>
      </c>
      <c r="O19" s="102">
        <f t="shared" si="2"/>
        <v>2900</v>
      </c>
      <c r="P19" s="102">
        <f t="shared" si="2"/>
        <v>1000</v>
      </c>
      <c r="Q19" s="77">
        <f t="shared" si="2"/>
        <v>800</v>
      </c>
      <c r="R19" s="81">
        <f t="shared" si="2"/>
        <v>1000</v>
      </c>
    </row>
    <row r="20" spans="1:18" s="63" customFormat="1" x14ac:dyDescent="0.2">
      <c r="D20" s="108"/>
      <c r="E20" s="108"/>
      <c r="F20" s="108"/>
      <c r="G20" s="108"/>
      <c r="I20" s="108"/>
      <c r="J20" s="108"/>
      <c r="K20" s="108"/>
      <c r="L20" s="108"/>
      <c r="M20" s="108"/>
      <c r="N20" s="108"/>
      <c r="O20" s="108"/>
      <c r="P20" s="108"/>
    </row>
    <row r="21" spans="1:18" s="63" customFormat="1" x14ac:dyDescent="0.2">
      <c r="A21" s="65"/>
      <c r="D21" s="108"/>
      <c r="E21" s="108"/>
      <c r="F21" s="108"/>
      <c r="G21" s="108"/>
      <c r="I21" s="108"/>
      <c r="J21" s="108"/>
      <c r="K21" s="108"/>
      <c r="L21" s="108"/>
      <c r="M21" s="108"/>
      <c r="N21" s="108"/>
      <c r="O21" s="108"/>
      <c r="P21" s="108"/>
    </row>
    <row r="22" spans="1:18" s="63" customFormat="1" x14ac:dyDescent="0.2">
      <c r="D22" s="108"/>
      <c r="E22" s="108"/>
      <c r="F22" s="108"/>
      <c r="G22" s="108"/>
      <c r="I22" s="108"/>
      <c r="J22" s="108"/>
      <c r="K22" s="108"/>
      <c r="L22" s="108"/>
      <c r="M22" s="108"/>
      <c r="N22" s="108"/>
      <c r="O22" s="108"/>
      <c r="P22" s="108"/>
    </row>
  </sheetData>
  <pageMargins left="0.75" right="0.75" top="1" bottom="1" header="0.5" footer="0.5"/>
  <pageSetup paperSize="9" scale="66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59"/>
  <sheetViews>
    <sheetView zoomScale="58" zoomScaleNormal="58" workbookViewId="0">
      <selection activeCell="E21" sqref="E21"/>
    </sheetView>
  </sheetViews>
  <sheetFormatPr defaultRowHeight="12.75" x14ac:dyDescent="0.2"/>
  <cols>
    <col min="1" max="1" width="29.28515625" customWidth="1"/>
    <col min="2" max="2" width="10.7109375" customWidth="1"/>
    <col min="3" max="3" width="11.5703125" bestFit="1" customWidth="1"/>
    <col min="4" max="4" width="11.5703125" style="107" bestFit="1" customWidth="1"/>
    <col min="5" max="6" width="11.5703125" style="107" customWidth="1"/>
    <col min="7" max="7" width="11.7109375" style="9" customWidth="1"/>
    <col min="8" max="8" width="10.7109375" style="9" customWidth="1"/>
    <col min="9" max="16" width="10.140625" style="12" bestFit="1" customWidth="1"/>
    <col min="17" max="18" width="10.140625" bestFit="1" customWidth="1"/>
  </cols>
  <sheetData>
    <row r="1" spans="1:23" s="16" customFormat="1" ht="13.5" thickBot="1" x14ac:dyDescent="0.25">
      <c r="A1" s="31" t="s">
        <v>24</v>
      </c>
      <c r="B1" s="32" t="s">
        <v>174</v>
      </c>
      <c r="C1" s="62" t="s">
        <v>173</v>
      </c>
      <c r="D1" s="96" t="s">
        <v>168</v>
      </c>
      <c r="E1" s="128">
        <v>43922</v>
      </c>
      <c r="F1" s="136">
        <v>43556</v>
      </c>
      <c r="G1" s="136">
        <v>43191</v>
      </c>
      <c r="H1" s="33">
        <v>42826</v>
      </c>
      <c r="I1" s="33">
        <v>42461</v>
      </c>
      <c r="J1" s="33">
        <v>42095</v>
      </c>
      <c r="K1" s="33">
        <v>41730</v>
      </c>
      <c r="L1" s="33">
        <v>41365</v>
      </c>
      <c r="M1" s="33">
        <v>41000</v>
      </c>
      <c r="N1" s="33">
        <v>40634</v>
      </c>
      <c r="O1" s="33">
        <v>40269</v>
      </c>
      <c r="P1" s="33">
        <v>39904</v>
      </c>
      <c r="Q1" s="33">
        <v>39539</v>
      </c>
      <c r="R1" s="34">
        <v>39173</v>
      </c>
    </row>
    <row r="2" spans="1:23" x14ac:dyDescent="0.2">
      <c r="A2" s="27" t="s">
        <v>11</v>
      </c>
      <c r="B2" s="35">
        <f>(E2-F2)/F2</f>
        <v>-0.14358600583090378</v>
      </c>
      <c r="C2" s="145">
        <f>E2-[1]US!E2</f>
        <v>-1182</v>
      </c>
      <c r="D2" s="84">
        <f>F2-[1]US!F2</f>
        <v>-3087</v>
      </c>
      <c r="E2" s="56">
        <v>3525</v>
      </c>
      <c r="F2" s="84">
        <v>4116</v>
      </c>
      <c r="G2" s="13">
        <v>3354</v>
      </c>
      <c r="H2" s="13">
        <v>5221</v>
      </c>
      <c r="I2" s="13">
        <v>2515</v>
      </c>
      <c r="J2" s="13">
        <v>14540</v>
      </c>
      <c r="K2" s="13">
        <v>4097</v>
      </c>
      <c r="L2" s="13">
        <v>10271</v>
      </c>
      <c r="M2" s="13">
        <v>8099</v>
      </c>
      <c r="N2" s="13">
        <v>22143.375680580761</v>
      </c>
      <c r="O2" s="13">
        <v>16464.609800362978</v>
      </c>
      <c r="P2" s="13">
        <v>23267.695099818513</v>
      </c>
      <c r="Q2" s="13">
        <v>18465.517241379312</v>
      </c>
      <c r="R2" s="37">
        <v>13072.595281306714</v>
      </c>
      <c r="V2" s="13"/>
      <c r="W2" s="46"/>
    </row>
    <row r="3" spans="1:23" x14ac:dyDescent="0.2">
      <c r="A3" s="27" t="s">
        <v>33</v>
      </c>
      <c r="B3" s="35">
        <f t="shared" ref="B3:B27" si="0">(E3-F3)/F3</f>
        <v>-0.61526039563988699</v>
      </c>
      <c r="C3" s="145">
        <f>E3-[1]US!E3</f>
        <v>-1029</v>
      </c>
      <c r="D3" s="84">
        <f>F3-[1]US!F3</f>
        <v>-839</v>
      </c>
      <c r="E3" s="56">
        <v>953</v>
      </c>
      <c r="F3" s="84">
        <v>2477</v>
      </c>
      <c r="G3" s="13">
        <v>1277</v>
      </c>
      <c r="H3" s="13">
        <v>858</v>
      </c>
      <c r="I3" s="13">
        <v>2401</v>
      </c>
      <c r="J3" s="13">
        <v>1467</v>
      </c>
      <c r="K3" s="13">
        <v>1925</v>
      </c>
      <c r="L3" s="13">
        <v>133</v>
      </c>
      <c r="M3" s="13">
        <v>838</v>
      </c>
      <c r="N3" s="13">
        <v>1276.7695099818511</v>
      </c>
      <c r="O3" s="13">
        <v>1048.0943738656988</v>
      </c>
      <c r="P3" s="13">
        <v>2000.9074410163339</v>
      </c>
      <c r="Q3" s="13">
        <v>2115.2450090744101</v>
      </c>
      <c r="R3" s="37">
        <v>838.47549909255895</v>
      </c>
      <c r="V3" s="13"/>
      <c r="W3" s="46"/>
    </row>
    <row r="4" spans="1:23" x14ac:dyDescent="0.2">
      <c r="A4" s="27" t="s">
        <v>175</v>
      </c>
      <c r="B4" s="35"/>
      <c r="C4" s="145">
        <f>E4-[1]US!E4</f>
        <v>-305</v>
      </c>
      <c r="D4" s="84">
        <f>F4-[1]US!F4</f>
        <v>0</v>
      </c>
      <c r="E4" s="56">
        <v>0</v>
      </c>
      <c r="F4" s="84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7"/>
      <c r="V4" s="13"/>
      <c r="W4" s="46"/>
    </row>
    <row r="5" spans="1:23" x14ac:dyDescent="0.2">
      <c r="A5" s="27" t="s">
        <v>49</v>
      </c>
      <c r="B5" s="35">
        <f t="shared" si="0"/>
        <v>-0.66819005594515801</v>
      </c>
      <c r="C5" s="145">
        <f>E5-[1]US!E5</f>
        <v>-3240</v>
      </c>
      <c r="D5" s="107">
        <f>F5-[1]US!F5</f>
        <v>-2954</v>
      </c>
      <c r="E5" s="56">
        <v>4211</v>
      </c>
      <c r="F5" s="84">
        <v>12691</v>
      </c>
      <c r="G5" s="13">
        <v>10405</v>
      </c>
      <c r="H5" s="13">
        <v>6041</v>
      </c>
      <c r="I5" s="13">
        <v>7089</v>
      </c>
      <c r="J5" s="13">
        <v>10157</v>
      </c>
      <c r="K5" s="13">
        <v>13682</v>
      </c>
      <c r="L5" s="13">
        <v>1448</v>
      </c>
      <c r="M5" s="13">
        <v>8918</v>
      </c>
      <c r="N5" s="13">
        <v>8899.2740471869329</v>
      </c>
      <c r="O5" s="13">
        <v>18027.223230490017</v>
      </c>
      <c r="P5" s="13">
        <v>12367.513611615244</v>
      </c>
      <c r="Q5" s="13">
        <v>11262.250453720508</v>
      </c>
      <c r="R5" s="37">
        <v>15931.034482758621</v>
      </c>
      <c r="V5" s="13"/>
      <c r="W5" s="46"/>
    </row>
    <row r="6" spans="1:23" x14ac:dyDescent="0.2">
      <c r="A6" s="27" t="s">
        <v>12</v>
      </c>
      <c r="B6" s="35">
        <f t="shared" si="0"/>
        <v>0.23238762346301148</v>
      </c>
      <c r="C6" s="145">
        <f>E6-[1]US!E6</f>
        <v>-39504</v>
      </c>
      <c r="D6" s="84">
        <f>F6-[1]US!F6</f>
        <v>-34472</v>
      </c>
      <c r="E6" s="56">
        <v>146733</v>
      </c>
      <c r="F6" s="84">
        <v>119064</v>
      </c>
      <c r="G6" s="13">
        <v>137910</v>
      </c>
      <c r="H6" s="13">
        <v>107077</v>
      </c>
      <c r="I6" s="13">
        <v>91699</v>
      </c>
      <c r="J6" s="13">
        <v>109230</v>
      </c>
      <c r="K6" s="13">
        <v>87487</v>
      </c>
      <c r="L6" s="13">
        <v>140483</v>
      </c>
      <c r="M6" s="13">
        <v>79865</v>
      </c>
      <c r="N6" s="13">
        <v>108125.22686025409</v>
      </c>
      <c r="O6" s="13">
        <v>76720.508166969143</v>
      </c>
      <c r="P6" s="13">
        <v>108239.56442831217</v>
      </c>
      <c r="Q6" s="13">
        <v>64067.150635208709</v>
      </c>
      <c r="R6" s="37">
        <v>65401.088929219601</v>
      </c>
      <c r="V6" s="13"/>
      <c r="W6" s="46"/>
    </row>
    <row r="7" spans="1:23" x14ac:dyDescent="0.2">
      <c r="A7" s="27" t="s">
        <v>9</v>
      </c>
      <c r="B7" s="35">
        <f t="shared" si="0"/>
        <v>0.25657156295765765</v>
      </c>
      <c r="C7" s="145">
        <f>E7-[1]US!E7</f>
        <v>-66068</v>
      </c>
      <c r="D7" s="84">
        <f>F7-[1]US!F7</f>
        <v>-57512</v>
      </c>
      <c r="E7" s="56">
        <v>235097</v>
      </c>
      <c r="F7" s="84">
        <v>187094</v>
      </c>
      <c r="G7" s="13">
        <v>205160</v>
      </c>
      <c r="H7" s="13">
        <v>183607</v>
      </c>
      <c r="I7" s="13">
        <v>127277</v>
      </c>
      <c r="J7" s="13">
        <v>182788</v>
      </c>
      <c r="K7" s="13">
        <v>127772</v>
      </c>
      <c r="L7" s="13">
        <v>134804</v>
      </c>
      <c r="M7" s="13">
        <v>112946</v>
      </c>
      <c r="N7" s="13">
        <v>95662.431941923773</v>
      </c>
      <c r="O7" s="13">
        <v>86915.60798548095</v>
      </c>
      <c r="P7" s="13">
        <v>84457.350272232303</v>
      </c>
      <c r="Q7" s="13">
        <v>62161.524500907442</v>
      </c>
      <c r="R7" s="37">
        <v>45315.789473684214</v>
      </c>
      <c r="V7" s="13"/>
      <c r="W7" s="46"/>
    </row>
    <row r="8" spans="1:23" x14ac:dyDescent="0.2">
      <c r="A8" s="27" t="s">
        <v>3</v>
      </c>
      <c r="B8" s="35">
        <f t="shared" si="0"/>
        <v>0.86488068437640697</v>
      </c>
      <c r="C8" s="145">
        <f>E8-[1]US!E8</f>
        <v>-17245</v>
      </c>
      <c r="D8" s="84">
        <f>F8-[1]US!F8</f>
        <v>-11605</v>
      </c>
      <c r="E8" s="56">
        <v>82838</v>
      </c>
      <c r="F8" s="84">
        <v>44420</v>
      </c>
      <c r="G8" s="13">
        <v>72814</v>
      </c>
      <c r="H8" s="13">
        <v>58617</v>
      </c>
      <c r="I8" s="13">
        <v>78836</v>
      </c>
      <c r="J8" s="13">
        <v>126248</v>
      </c>
      <c r="K8" s="13">
        <v>102256</v>
      </c>
      <c r="L8" s="13">
        <v>115367</v>
      </c>
      <c r="M8" s="13">
        <v>94919</v>
      </c>
      <c r="N8" s="13">
        <v>99702.359346642465</v>
      </c>
      <c r="O8" s="13">
        <v>98368.421052631573</v>
      </c>
      <c r="P8" s="13">
        <v>134232.30490018148</v>
      </c>
      <c r="Q8" s="13">
        <v>104123.41197822141</v>
      </c>
      <c r="R8" s="37">
        <v>76853.90199637023</v>
      </c>
      <c r="V8" s="13"/>
      <c r="W8" s="46"/>
    </row>
    <row r="9" spans="1:23" x14ac:dyDescent="0.2">
      <c r="A9" s="27" t="s">
        <v>17</v>
      </c>
      <c r="B9" s="35">
        <f t="shared" si="0"/>
        <v>0.34280000701668217</v>
      </c>
      <c r="C9" s="145">
        <f>E9-[1]US!E9</f>
        <v>-30814</v>
      </c>
      <c r="D9" s="84">
        <f>F9-[1]US!F9</f>
        <v>-27460</v>
      </c>
      <c r="E9" s="56">
        <v>153098</v>
      </c>
      <c r="F9" s="84">
        <v>114014</v>
      </c>
      <c r="G9" s="13">
        <v>192564</v>
      </c>
      <c r="H9" s="13">
        <v>92194</v>
      </c>
      <c r="I9" s="13">
        <v>149058</v>
      </c>
      <c r="J9" s="13">
        <v>136348</v>
      </c>
      <c r="K9" s="13">
        <v>132841</v>
      </c>
      <c r="L9" s="13">
        <v>101113</v>
      </c>
      <c r="M9" s="13">
        <v>99359</v>
      </c>
      <c r="N9" s="13">
        <v>95395.644283121597</v>
      </c>
      <c r="O9" s="13">
        <v>85086.206896551725</v>
      </c>
      <c r="P9" s="13">
        <v>135032.66787658804</v>
      </c>
      <c r="Q9" s="13">
        <v>85657.894736842107</v>
      </c>
      <c r="R9" s="37">
        <v>101855.71687840291</v>
      </c>
      <c r="V9" s="13"/>
      <c r="W9" s="46"/>
    </row>
    <row r="10" spans="1:23" x14ac:dyDescent="0.2">
      <c r="A10" s="27" t="s">
        <v>159</v>
      </c>
      <c r="B10" s="35">
        <f t="shared" si="0"/>
        <v>0.21448416635953846</v>
      </c>
      <c r="C10" s="145">
        <f>E10-[1]US!E10</f>
        <v>-37903</v>
      </c>
      <c r="D10" s="84">
        <f>F10-[1]US!F10</f>
        <v>-26069</v>
      </c>
      <c r="E10" s="56">
        <v>85677</v>
      </c>
      <c r="F10" s="84">
        <v>70546</v>
      </c>
      <c r="G10" s="13">
        <v>64505</v>
      </c>
      <c r="H10" s="13">
        <v>27784</v>
      </c>
      <c r="I10" s="13">
        <v>30852</v>
      </c>
      <c r="J10" s="13">
        <v>12749</v>
      </c>
      <c r="K10" s="13">
        <v>6250</v>
      </c>
      <c r="L10" s="13">
        <v>667</v>
      </c>
      <c r="M10" s="13"/>
      <c r="N10" s="13"/>
      <c r="O10" s="13"/>
      <c r="P10" s="13"/>
      <c r="Q10" s="13"/>
      <c r="R10" s="37"/>
      <c r="V10" s="13"/>
      <c r="W10" s="46"/>
    </row>
    <row r="11" spans="1:23" x14ac:dyDescent="0.2">
      <c r="A11" s="28" t="s">
        <v>10</v>
      </c>
      <c r="B11" s="35">
        <f t="shared" si="0"/>
        <v>0.68764568764568768</v>
      </c>
      <c r="C11" s="145">
        <f>E11-[1]US!E11</f>
        <v>-439</v>
      </c>
      <c r="D11" s="84">
        <f>F11-[1]US!F11</f>
        <v>-171</v>
      </c>
      <c r="E11" s="56">
        <v>1448</v>
      </c>
      <c r="F11" s="84">
        <v>858</v>
      </c>
      <c r="G11" s="13">
        <v>1201</v>
      </c>
      <c r="H11" s="97">
        <v>1810</v>
      </c>
      <c r="I11" s="97">
        <v>1563</v>
      </c>
      <c r="J11" s="97">
        <v>2782</v>
      </c>
      <c r="K11" s="97">
        <v>5488</v>
      </c>
      <c r="L11" s="97">
        <v>534</v>
      </c>
      <c r="M11" s="97">
        <v>3449</v>
      </c>
      <c r="N11" s="97">
        <v>609.80036297640652</v>
      </c>
      <c r="O11" s="97">
        <v>3868.4210526315787</v>
      </c>
      <c r="P11" s="97">
        <v>4535.3901996370232</v>
      </c>
      <c r="Q11" s="13">
        <v>3144.2831215970964</v>
      </c>
      <c r="R11" s="37">
        <v>3182.3956442831218</v>
      </c>
      <c r="V11" s="13"/>
      <c r="W11" s="46"/>
    </row>
    <row r="12" spans="1:23" x14ac:dyDescent="0.2">
      <c r="A12" s="28" t="s">
        <v>27</v>
      </c>
      <c r="B12" s="35">
        <f t="shared" si="0"/>
        <v>-1</v>
      </c>
      <c r="C12" s="145">
        <f>E12-[1]US!E12</f>
        <v>0</v>
      </c>
      <c r="D12" s="84">
        <f>F12-[1]US!F12</f>
        <v>-2611</v>
      </c>
      <c r="E12" s="56"/>
      <c r="F12" s="84">
        <v>4840</v>
      </c>
      <c r="G12" s="13">
        <v>4593</v>
      </c>
      <c r="H12" s="97">
        <v>6022</v>
      </c>
      <c r="I12" s="97">
        <v>3335</v>
      </c>
      <c r="J12" s="97">
        <v>9890</v>
      </c>
      <c r="K12" s="97">
        <v>9338</v>
      </c>
      <c r="L12" s="97">
        <v>4593</v>
      </c>
      <c r="M12" s="97">
        <v>5164</v>
      </c>
      <c r="N12" s="97">
        <v>6040.8348457350276</v>
      </c>
      <c r="O12" s="97">
        <v>5240.471869328494</v>
      </c>
      <c r="P12" s="97">
        <v>4649.7277676950998</v>
      </c>
      <c r="Q12" s="13">
        <v>2305.807622504537</v>
      </c>
      <c r="R12" s="37">
        <v>3144.2831215970964</v>
      </c>
      <c r="V12" s="13"/>
      <c r="W12" s="46"/>
    </row>
    <row r="13" spans="1:23" x14ac:dyDescent="0.2">
      <c r="A13" s="28" t="s">
        <v>50</v>
      </c>
      <c r="B13" s="35">
        <f t="shared" si="0"/>
        <v>4.4811320754716978E-2</v>
      </c>
      <c r="C13" s="145">
        <f>E13-[1]US!E13</f>
        <v>1010</v>
      </c>
      <c r="D13" s="84">
        <f>F13-[1]US!F13</f>
        <v>-343</v>
      </c>
      <c r="E13" s="56">
        <v>1772</v>
      </c>
      <c r="F13" s="84">
        <v>1696</v>
      </c>
      <c r="G13" s="13">
        <v>0</v>
      </c>
      <c r="H13" s="97">
        <v>229</v>
      </c>
      <c r="I13" s="97">
        <v>1582</v>
      </c>
      <c r="J13" s="97">
        <v>1601</v>
      </c>
      <c r="K13" s="97">
        <v>2401</v>
      </c>
      <c r="L13" s="97">
        <v>38</v>
      </c>
      <c r="M13" s="97">
        <v>2496</v>
      </c>
      <c r="N13" s="97">
        <v>876.58802177858445</v>
      </c>
      <c r="O13" s="97">
        <v>6117.0598911070783</v>
      </c>
      <c r="P13" s="97">
        <v>1295.8257713248638</v>
      </c>
      <c r="Q13" s="13">
        <v>743.19419237749548</v>
      </c>
      <c r="R13" s="37">
        <v>1314.8820326678765</v>
      </c>
      <c r="V13" s="13"/>
      <c r="W13" s="46"/>
    </row>
    <row r="14" spans="1:23" x14ac:dyDescent="0.2">
      <c r="A14" s="28" t="s">
        <v>51</v>
      </c>
      <c r="B14" s="35">
        <f t="shared" si="0"/>
        <v>-0.27317650334075722</v>
      </c>
      <c r="C14" s="145">
        <f>E14-[1]US!E14</f>
        <v>-6003</v>
      </c>
      <c r="D14" s="84">
        <f>F14-[1]US!F14</f>
        <v>-4345</v>
      </c>
      <c r="E14" s="56">
        <v>10443</v>
      </c>
      <c r="F14" s="84">
        <v>14368</v>
      </c>
      <c r="G14" s="13">
        <v>12444</v>
      </c>
      <c r="H14" s="97">
        <v>9204</v>
      </c>
      <c r="I14" s="97">
        <v>14769</v>
      </c>
      <c r="J14" s="97">
        <v>17799</v>
      </c>
      <c r="K14" s="97">
        <v>18408</v>
      </c>
      <c r="L14" s="97">
        <v>2172</v>
      </c>
      <c r="M14" s="97">
        <v>9776</v>
      </c>
      <c r="N14" s="97">
        <v>7717.7858439201455</v>
      </c>
      <c r="O14" s="97">
        <v>20275.862068965518</v>
      </c>
      <c r="P14" s="97">
        <v>14101.633393829401</v>
      </c>
      <c r="Q14" s="13">
        <v>12291.288566243195</v>
      </c>
      <c r="R14" s="37">
        <v>11891.107078039928</v>
      </c>
      <c r="V14" s="13"/>
      <c r="W14" s="46"/>
    </row>
    <row r="15" spans="1:23" x14ac:dyDescent="0.2">
      <c r="A15" s="28" t="s">
        <v>52</v>
      </c>
      <c r="B15" s="35">
        <f t="shared" si="0"/>
        <v>-0.38446014127144301</v>
      </c>
      <c r="C15" s="145">
        <f>E15-[1]US!E15</f>
        <v>-171</v>
      </c>
      <c r="D15" s="84">
        <f>F15-[1]US!F15</f>
        <v>-286</v>
      </c>
      <c r="E15" s="56">
        <v>610</v>
      </c>
      <c r="F15" s="84">
        <v>991</v>
      </c>
      <c r="G15" s="13">
        <v>1525</v>
      </c>
      <c r="H15" s="97">
        <v>1067</v>
      </c>
      <c r="I15" s="97">
        <v>648</v>
      </c>
      <c r="J15" s="97">
        <v>762</v>
      </c>
      <c r="K15" s="97">
        <v>1162</v>
      </c>
      <c r="L15" s="97">
        <v>819</v>
      </c>
      <c r="M15" s="97">
        <v>2344</v>
      </c>
      <c r="N15" s="97">
        <v>2134.301270417423</v>
      </c>
      <c r="O15" s="97">
        <v>2362.9764065335753</v>
      </c>
      <c r="P15" s="97">
        <v>2763.1578947368421</v>
      </c>
      <c r="Q15" s="13">
        <v>3887.4773139745917</v>
      </c>
      <c r="R15" s="37">
        <v>2115.2450090744101</v>
      </c>
      <c r="V15" s="13"/>
      <c r="W15" s="46"/>
    </row>
    <row r="16" spans="1:23" x14ac:dyDescent="0.2">
      <c r="A16" s="28" t="s">
        <v>53</v>
      </c>
      <c r="B16" s="35">
        <f t="shared" si="0"/>
        <v>-0.11728395061728394</v>
      </c>
      <c r="C16" s="145">
        <f>E16-[1]US!E16</f>
        <v>-95</v>
      </c>
      <c r="D16" s="84">
        <f>F16-[1]US!F16</f>
        <v>-114</v>
      </c>
      <c r="E16" s="56">
        <v>286</v>
      </c>
      <c r="F16" s="84">
        <v>324</v>
      </c>
      <c r="G16" s="13">
        <v>0</v>
      </c>
      <c r="H16" s="97">
        <v>0</v>
      </c>
      <c r="I16" s="97">
        <v>0</v>
      </c>
      <c r="J16" s="97">
        <v>0</v>
      </c>
      <c r="K16" s="97">
        <v>0</v>
      </c>
      <c r="L16" s="97">
        <v>400</v>
      </c>
      <c r="M16" s="97">
        <v>591</v>
      </c>
      <c r="N16" s="97">
        <v>1372.0508166969148</v>
      </c>
      <c r="O16" s="97">
        <v>0</v>
      </c>
      <c r="P16" s="97">
        <v>2210.5263157894738</v>
      </c>
      <c r="Q16" s="13">
        <v>171.50635208711435</v>
      </c>
      <c r="R16" s="37">
        <v>57.168784029038115</v>
      </c>
      <c r="V16" s="13"/>
      <c r="W16" s="46"/>
    </row>
    <row r="17" spans="1:23" x14ac:dyDescent="0.2">
      <c r="A17" s="28" t="s">
        <v>54</v>
      </c>
      <c r="B17" s="35"/>
      <c r="C17" s="145">
        <f>E17-[1]US!E17</f>
        <v>0</v>
      </c>
      <c r="D17" s="84">
        <f>F17-[1]US!F17</f>
        <v>0</v>
      </c>
      <c r="E17" s="56"/>
      <c r="F17" s="84"/>
      <c r="G17" s="13">
        <v>0</v>
      </c>
      <c r="H17" s="97">
        <v>0</v>
      </c>
      <c r="I17" s="97">
        <v>0</v>
      </c>
      <c r="J17" s="97">
        <v>0</v>
      </c>
      <c r="K17" s="97">
        <v>305</v>
      </c>
      <c r="L17" s="97">
        <v>19</v>
      </c>
      <c r="M17" s="97">
        <v>0</v>
      </c>
      <c r="N17" s="97">
        <v>0</v>
      </c>
      <c r="O17" s="97">
        <v>38.112522686025407</v>
      </c>
      <c r="P17" s="97">
        <v>0</v>
      </c>
      <c r="Q17" s="13">
        <v>38.112522686025407</v>
      </c>
      <c r="R17" s="37">
        <v>38.112522686025407</v>
      </c>
      <c r="V17" s="13"/>
      <c r="W17" s="46"/>
    </row>
    <row r="18" spans="1:23" x14ac:dyDescent="0.2">
      <c r="A18" s="29" t="s">
        <v>22</v>
      </c>
      <c r="B18" s="35">
        <f t="shared" si="0"/>
        <v>-1.2749172360357821E-2</v>
      </c>
      <c r="C18" s="145">
        <f>E18-[1]US!E18</f>
        <v>-15397</v>
      </c>
      <c r="D18" s="84">
        <f>F18-[1]US!F18</f>
        <v>-11815</v>
      </c>
      <c r="E18" s="56">
        <v>56064</v>
      </c>
      <c r="F18" s="84">
        <v>56788</v>
      </c>
      <c r="G18" s="13">
        <v>48841</v>
      </c>
      <c r="H18" s="13">
        <v>55930</v>
      </c>
      <c r="I18" s="13">
        <v>45468</v>
      </c>
      <c r="J18" s="13">
        <v>36417</v>
      </c>
      <c r="K18" s="13">
        <v>26202</v>
      </c>
      <c r="L18" s="13">
        <v>25307</v>
      </c>
      <c r="M18" s="13">
        <v>19876</v>
      </c>
      <c r="N18" s="13">
        <v>22829.401088929219</v>
      </c>
      <c r="O18" s="13">
        <v>24868.42105263158</v>
      </c>
      <c r="P18" s="13">
        <v>18179.673321234121</v>
      </c>
      <c r="Q18" s="13">
        <v>18789.473684210527</v>
      </c>
      <c r="R18" s="37">
        <v>7355.7168784029036</v>
      </c>
      <c r="V18" s="13"/>
      <c r="W18" s="46"/>
    </row>
    <row r="19" spans="1:23" x14ac:dyDescent="0.2">
      <c r="A19" s="28" t="s">
        <v>19</v>
      </c>
      <c r="B19" s="35">
        <f t="shared" si="0"/>
        <v>-8.9483769003762287E-2</v>
      </c>
      <c r="C19" s="145">
        <f>E19-[1]US!E19</f>
        <v>-51928</v>
      </c>
      <c r="D19" s="84">
        <f>F19-[1]US!F19</f>
        <v>-69136</v>
      </c>
      <c r="E19" s="56">
        <v>260404</v>
      </c>
      <c r="F19" s="84">
        <v>285996</v>
      </c>
      <c r="G19" s="13">
        <v>298383</v>
      </c>
      <c r="H19" s="97">
        <v>385946</v>
      </c>
      <c r="I19" s="97">
        <v>278431</v>
      </c>
      <c r="J19" s="97">
        <v>445383</v>
      </c>
      <c r="K19" s="97">
        <v>332589</v>
      </c>
      <c r="L19" s="97">
        <v>382383</v>
      </c>
      <c r="M19" s="97">
        <v>333713</v>
      </c>
      <c r="N19" s="97">
        <v>293142.46823956445</v>
      </c>
      <c r="O19" s="97">
        <v>334227.76769509981</v>
      </c>
      <c r="P19" s="97">
        <v>341354.80943738658</v>
      </c>
      <c r="Q19" s="13">
        <v>275134.3012704174</v>
      </c>
      <c r="R19" s="37">
        <v>313437.38656987296</v>
      </c>
      <c r="V19" s="13"/>
      <c r="W19" s="46"/>
    </row>
    <row r="20" spans="1:23" x14ac:dyDescent="0.2">
      <c r="A20" s="28" t="s">
        <v>55</v>
      </c>
      <c r="B20" s="35">
        <f t="shared" si="0"/>
        <v>-0.20108385624643468</v>
      </c>
      <c r="C20" s="145">
        <f>E20-[1]US!E20</f>
        <v>-458</v>
      </c>
      <c r="D20" s="84">
        <f>F20-[1]US!F20</f>
        <v>-705</v>
      </c>
      <c r="E20" s="56">
        <v>2801</v>
      </c>
      <c r="F20" s="84">
        <v>3506</v>
      </c>
      <c r="G20" s="13">
        <v>3468</v>
      </c>
      <c r="H20" s="97">
        <v>5031</v>
      </c>
      <c r="I20" s="97">
        <v>3525</v>
      </c>
      <c r="J20" s="97">
        <v>4326</v>
      </c>
      <c r="K20" s="97">
        <v>2801</v>
      </c>
      <c r="L20" s="97">
        <v>2211</v>
      </c>
      <c r="M20" s="97">
        <v>4554</v>
      </c>
      <c r="N20" s="97">
        <v>1448.2758620689656</v>
      </c>
      <c r="O20" s="97">
        <v>3773.1397459165155</v>
      </c>
      <c r="P20" s="97">
        <v>5126.1343012704174</v>
      </c>
      <c r="Q20" s="13">
        <v>5659.7096188747728</v>
      </c>
      <c r="R20" s="37">
        <v>5450.0907441016334</v>
      </c>
      <c r="V20" s="13"/>
      <c r="W20" s="46"/>
    </row>
    <row r="21" spans="1:23" x14ac:dyDescent="0.2">
      <c r="A21" s="28" t="s">
        <v>56</v>
      </c>
      <c r="B21" s="35">
        <f t="shared" si="0"/>
        <v>1.1423220973782771</v>
      </c>
      <c r="C21" s="145">
        <f>E21-[1]US!E21</f>
        <v>134</v>
      </c>
      <c r="D21" s="84">
        <f>F21-[1]US!F21</f>
        <v>-133</v>
      </c>
      <c r="E21" s="56">
        <v>572</v>
      </c>
      <c r="F21" s="84">
        <v>267</v>
      </c>
      <c r="G21" s="13">
        <v>229</v>
      </c>
      <c r="H21" s="97">
        <v>2725</v>
      </c>
      <c r="I21" s="97">
        <v>1563</v>
      </c>
      <c r="J21" s="97">
        <v>1677</v>
      </c>
      <c r="K21" s="97">
        <v>3544</v>
      </c>
      <c r="L21" s="97">
        <v>229</v>
      </c>
      <c r="M21" s="97">
        <v>3544</v>
      </c>
      <c r="N21" s="97">
        <v>1791.2885662431943</v>
      </c>
      <c r="O21" s="97">
        <v>3620.6896551724139</v>
      </c>
      <c r="P21" s="97">
        <v>3372.9582577132487</v>
      </c>
      <c r="Q21" s="13">
        <v>2324.8638838475499</v>
      </c>
      <c r="R21" s="37">
        <v>5011.7967332123408</v>
      </c>
      <c r="V21" s="13"/>
      <c r="W21" s="46"/>
    </row>
    <row r="22" spans="1:23" x14ac:dyDescent="0.2">
      <c r="A22" s="28" t="s">
        <v>35</v>
      </c>
      <c r="B22" s="35">
        <f t="shared" si="0"/>
        <v>-0.70083374203040705</v>
      </c>
      <c r="C22" s="145">
        <f>E22-[1]US!E22</f>
        <v>-228</v>
      </c>
      <c r="D22" s="84">
        <f>F22-[1]US!F22</f>
        <v>-95</v>
      </c>
      <c r="E22" s="56">
        <v>610</v>
      </c>
      <c r="F22" s="84">
        <v>2039</v>
      </c>
      <c r="G22" s="13">
        <v>2172</v>
      </c>
      <c r="H22" s="97">
        <v>858</v>
      </c>
      <c r="I22" s="97">
        <v>2554</v>
      </c>
      <c r="J22" s="97">
        <v>2630</v>
      </c>
      <c r="K22" s="97">
        <v>1791</v>
      </c>
      <c r="L22" s="97">
        <v>229</v>
      </c>
      <c r="M22" s="97">
        <v>991</v>
      </c>
      <c r="N22" s="97">
        <v>1867.5136116152451</v>
      </c>
      <c r="O22" s="97">
        <v>3182.3956442831218</v>
      </c>
      <c r="P22" s="97">
        <v>2305.807622504537</v>
      </c>
      <c r="Q22" s="13">
        <v>1657.8947368421052</v>
      </c>
      <c r="R22" s="37">
        <v>2877.4954627949182</v>
      </c>
      <c r="V22" s="13"/>
      <c r="W22" s="46"/>
    </row>
    <row r="23" spans="1:23" x14ac:dyDescent="0.2">
      <c r="A23" s="28" t="s">
        <v>21</v>
      </c>
      <c r="B23" s="35">
        <f t="shared" si="0"/>
        <v>-0.63809523809523805</v>
      </c>
      <c r="C23" s="145">
        <f>E23-[1]US!E23</f>
        <v>-57</v>
      </c>
      <c r="D23" s="84">
        <f>F23-[1]US!F23</f>
        <v>-57</v>
      </c>
      <c r="E23" s="56">
        <v>76</v>
      </c>
      <c r="F23" s="84">
        <v>210</v>
      </c>
      <c r="G23" s="13">
        <v>229</v>
      </c>
      <c r="H23" s="97">
        <v>133</v>
      </c>
      <c r="I23" s="97">
        <v>286</v>
      </c>
      <c r="J23" s="97">
        <v>419</v>
      </c>
      <c r="K23" s="97">
        <v>38</v>
      </c>
      <c r="L23" s="97">
        <v>152</v>
      </c>
      <c r="M23" s="97">
        <v>267</v>
      </c>
      <c r="N23" s="97">
        <v>304.90018148820326</v>
      </c>
      <c r="O23" s="97">
        <v>533.57531760435575</v>
      </c>
      <c r="P23" s="97">
        <v>438.29401088929222</v>
      </c>
      <c r="Q23" s="13">
        <v>724.13793103448279</v>
      </c>
      <c r="R23" s="37">
        <v>590.74410163339383</v>
      </c>
      <c r="V23" s="13"/>
      <c r="W23" s="46"/>
    </row>
    <row r="24" spans="1:23" x14ac:dyDescent="0.2">
      <c r="A24" s="28" t="s">
        <v>57</v>
      </c>
      <c r="B24" s="35"/>
      <c r="C24" s="145">
        <f>E24-[1]US!E24</f>
        <v>0</v>
      </c>
      <c r="D24" s="84">
        <f>F24-[1]US!F24</f>
        <v>0</v>
      </c>
      <c r="E24" s="56"/>
      <c r="F24" s="84"/>
      <c r="G24" s="13">
        <v>0</v>
      </c>
      <c r="H24" s="97">
        <v>0</v>
      </c>
      <c r="I24" s="97">
        <v>0</v>
      </c>
      <c r="J24" s="97">
        <v>0</v>
      </c>
      <c r="K24" s="97">
        <v>0</v>
      </c>
      <c r="L24" s="97">
        <v>0</v>
      </c>
      <c r="M24" s="97">
        <v>0</v>
      </c>
      <c r="N24" s="97">
        <v>0</v>
      </c>
      <c r="O24" s="97">
        <v>0</v>
      </c>
      <c r="P24" s="97">
        <v>76.225045372050815</v>
      </c>
      <c r="Q24" s="13">
        <v>0</v>
      </c>
      <c r="R24" s="37">
        <v>19.056261343012704</v>
      </c>
      <c r="V24" s="13"/>
      <c r="W24" s="46"/>
    </row>
    <row r="25" spans="1:23" x14ac:dyDescent="0.2">
      <c r="A25" s="28" t="s">
        <v>58</v>
      </c>
      <c r="B25" s="35">
        <f t="shared" si="0"/>
        <v>-0.58011049723756902</v>
      </c>
      <c r="C25" s="145">
        <f>E25-[1]US!E25</f>
        <v>-58</v>
      </c>
      <c r="D25" s="84">
        <f>F25-[1]US!F25</f>
        <v>-114</v>
      </c>
      <c r="E25" s="56">
        <v>152</v>
      </c>
      <c r="F25" s="84">
        <v>362</v>
      </c>
      <c r="G25" s="13">
        <v>19</v>
      </c>
      <c r="H25" s="97">
        <v>57</v>
      </c>
      <c r="I25" s="97">
        <v>57</v>
      </c>
      <c r="J25" s="97">
        <v>57</v>
      </c>
      <c r="K25" s="97">
        <v>0</v>
      </c>
      <c r="L25" s="97">
        <v>95</v>
      </c>
      <c r="M25" s="97">
        <v>191</v>
      </c>
      <c r="N25" s="97">
        <v>228.67513611615246</v>
      </c>
      <c r="O25" s="97">
        <v>19.056261343012704</v>
      </c>
      <c r="P25" s="97">
        <v>57.168784029038115</v>
      </c>
      <c r="Q25" s="13">
        <v>19.056261343012704</v>
      </c>
      <c r="R25" s="37">
        <v>38.112522686025407</v>
      </c>
      <c r="V25" s="13"/>
      <c r="W25" s="46"/>
    </row>
    <row r="26" spans="1:23" ht="13.5" thickBot="1" x14ac:dyDescent="0.25">
      <c r="A26" s="30" t="s">
        <v>59</v>
      </c>
      <c r="B26" s="35">
        <f t="shared" si="0"/>
        <v>0.47729325778106269</v>
      </c>
      <c r="C26" s="146">
        <f>E26-[1]US!E26</f>
        <v>-27061</v>
      </c>
      <c r="D26" s="85">
        <f>F26-[1]US!F26</f>
        <v>-19361</v>
      </c>
      <c r="E26" s="57">
        <f>(13930+58026)</f>
        <v>71956</v>
      </c>
      <c r="F26" s="85">
        <f>39332+9376</f>
        <v>48708</v>
      </c>
      <c r="G26" s="15">
        <v>107325</v>
      </c>
      <c r="H26" s="98">
        <v>60466</v>
      </c>
      <c r="I26" s="98">
        <v>52652</v>
      </c>
      <c r="J26" s="98">
        <v>47564</v>
      </c>
      <c r="K26" s="98">
        <v>36721</v>
      </c>
      <c r="L26" s="98">
        <v>22925</v>
      </c>
      <c r="M26" s="98">
        <v>14140</v>
      </c>
      <c r="N26" s="98">
        <v>15187.840290381126</v>
      </c>
      <c r="O26" s="98">
        <v>17341.197822141559</v>
      </c>
      <c r="P26" s="98">
        <v>19170.598911070781</v>
      </c>
      <c r="Q26" s="15">
        <v>11662.431941923775</v>
      </c>
      <c r="R26" s="39">
        <v>14196.914700544465</v>
      </c>
      <c r="V26" s="13"/>
      <c r="W26" s="46"/>
    </row>
    <row r="27" spans="1:23" ht="13.5" thickBot="1" x14ac:dyDescent="0.25">
      <c r="A27" s="45" t="s">
        <v>23</v>
      </c>
      <c r="B27" s="160">
        <f t="shared" si="0"/>
        <v>0.14758528770985518</v>
      </c>
      <c r="C27" s="171">
        <f>E27-[1]US!E27</f>
        <v>-298041</v>
      </c>
      <c r="D27" s="42">
        <f>F27-[1]US!F27</f>
        <v>-273284</v>
      </c>
      <c r="E27" s="118">
        <f t="shared" ref="E27:J27" si="1">SUM(E2:E26)</f>
        <v>1119326</v>
      </c>
      <c r="F27" s="42">
        <f t="shared" si="1"/>
        <v>975375</v>
      </c>
      <c r="G27" s="42">
        <f t="shared" si="1"/>
        <v>1168418</v>
      </c>
      <c r="H27" s="42">
        <f t="shared" si="1"/>
        <v>1010877</v>
      </c>
      <c r="I27" s="42">
        <f t="shared" si="1"/>
        <v>896160</v>
      </c>
      <c r="J27" s="42">
        <f t="shared" si="1"/>
        <v>1164834</v>
      </c>
      <c r="K27" s="42">
        <f t="shared" ref="K27:R27" si="2">SUM(K2:K26)</f>
        <v>917098</v>
      </c>
      <c r="L27" s="42">
        <f t="shared" si="2"/>
        <v>946392</v>
      </c>
      <c r="M27" s="42">
        <f t="shared" si="2"/>
        <v>806040</v>
      </c>
      <c r="N27" s="42">
        <f t="shared" si="2"/>
        <v>786756.8058076225</v>
      </c>
      <c r="O27" s="42">
        <f t="shared" si="2"/>
        <v>808099.81851179677</v>
      </c>
      <c r="P27" s="42">
        <f t="shared" si="2"/>
        <v>919235.93466424686</v>
      </c>
      <c r="Q27" s="42">
        <f t="shared" si="2"/>
        <v>686406.53357531771</v>
      </c>
      <c r="R27" s="43">
        <f t="shared" si="2"/>
        <v>689989.11070780398</v>
      </c>
    </row>
    <row r="28" spans="1:23" s="9" customFormat="1" x14ac:dyDescent="0.2">
      <c r="B28" s="44"/>
      <c r="C28" s="44"/>
      <c r="D28" s="44"/>
      <c r="E28" s="44"/>
      <c r="F28" s="44"/>
      <c r="G28" s="44"/>
      <c r="H28" s="44"/>
      <c r="I28" s="12"/>
      <c r="J28" s="12"/>
      <c r="K28" s="12"/>
      <c r="L28" s="12"/>
      <c r="M28" s="12"/>
      <c r="N28" s="12"/>
      <c r="O28" s="12"/>
      <c r="P28" s="12"/>
    </row>
    <row r="29" spans="1:23" s="9" customFormat="1" ht="13.5" thickBot="1" x14ac:dyDescent="0.25">
      <c r="B29" s="44"/>
      <c r="C29" s="44"/>
      <c r="D29" s="44"/>
      <c r="E29" s="44"/>
      <c r="F29" s="44"/>
      <c r="G29" s="44"/>
      <c r="H29" s="44"/>
      <c r="I29" s="12"/>
      <c r="J29" s="12"/>
      <c r="K29" s="12"/>
      <c r="L29" s="12"/>
      <c r="M29" s="12"/>
      <c r="N29" s="12"/>
      <c r="O29" s="12"/>
      <c r="P29" s="12"/>
    </row>
    <row r="30" spans="1:23" s="16" customFormat="1" ht="13.5" thickBot="1" x14ac:dyDescent="0.25">
      <c r="A30" s="31" t="s">
        <v>25</v>
      </c>
      <c r="B30" s="32" t="s">
        <v>174</v>
      </c>
      <c r="C30" s="62" t="s">
        <v>173</v>
      </c>
      <c r="D30" s="96" t="s">
        <v>168</v>
      </c>
      <c r="E30" s="128">
        <v>43922</v>
      </c>
      <c r="F30" s="136">
        <v>43556</v>
      </c>
      <c r="G30" s="136">
        <v>43191</v>
      </c>
      <c r="H30" s="33">
        <v>42826</v>
      </c>
      <c r="I30" s="33">
        <v>42461</v>
      </c>
      <c r="J30" s="33">
        <v>42095</v>
      </c>
      <c r="K30" s="33">
        <v>41730</v>
      </c>
      <c r="L30" s="33">
        <v>41365</v>
      </c>
      <c r="M30" s="33">
        <v>41000</v>
      </c>
      <c r="N30" s="33">
        <v>40634</v>
      </c>
      <c r="O30" s="33">
        <v>40269</v>
      </c>
      <c r="P30" s="33">
        <v>39904</v>
      </c>
      <c r="Q30" s="33">
        <v>39539</v>
      </c>
      <c r="R30" s="34">
        <v>39173</v>
      </c>
    </row>
    <row r="31" spans="1:23" x14ac:dyDescent="0.2">
      <c r="A31" s="27" t="s">
        <v>41</v>
      </c>
      <c r="B31" s="35">
        <f t="shared" ref="B31:B41" si="3">(E31-F31)/F31</f>
        <v>-2.8757578499683287E-2</v>
      </c>
      <c r="C31" s="145">
        <f>E31-[1]US!E31</f>
        <v>-26429</v>
      </c>
      <c r="D31" s="84">
        <f>F31-[1]US!F31</f>
        <v>-28305</v>
      </c>
      <c r="E31" s="56">
        <v>53666</v>
      </c>
      <c r="F31" s="84">
        <v>55255</v>
      </c>
      <c r="G31" s="13">
        <v>50746.32</v>
      </c>
      <c r="H31" s="13">
        <v>45305.42</v>
      </c>
      <c r="I31" s="13">
        <v>39072.839999999997</v>
      </c>
      <c r="J31" s="13">
        <v>64343.18</v>
      </c>
      <c r="K31" s="13">
        <v>57674.68</v>
      </c>
      <c r="L31" s="13">
        <v>51093.88</v>
      </c>
      <c r="M31" s="13">
        <v>66380.479999999996</v>
      </c>
      <c r="N31" s="13">
        <v>59116.160000000003</v>
      </c>
      <c r="O31" s="13">
        <v>56464.34</v>
      </c>
      <c r="P31" s="13">
        <v>43632.4</v>
      </c>
      <c r="Q31" s="13">
        <v>50935.24</v>
      </c>
      <c r="R31" s="37">
        <v>30827.599999999999</v>
      </c>
    </row>
    <row r="32" spans="1:23" x14ac:dyDescent="0.2">
      <c r="A32" s="27" t="s">
        <v>42</v>
      </c>
      <c r="B32" s="35">
        <f t="shared" si="3"/>
        <v>-0.66646837200079323</v>
      </c>
      <c r="C32" s="145">
        <f>E32-[1]US!E32</f>
        <v>-6524</v>
      </c>
      <c r="D32" s="84">
        <f>F32-[1]US!F32</f>
        <v>-11226</v>
      </c>
      <c r="E32" s="56">
        <v>3364</v>
      </c>
      <c r="F32" s="84">
        <v>10086</v>
      </c>
      <c r="G32" s="13">
        <v>1915.32</v>
      </c>
      <c r="H32" s="13">
        <v>7533.16</v>
      </c>
      <c r="I32" s="13">
        <v>6274.02</v>
      </c>
      <c r="J32" s="13">
        <v>5956.06</v>
      </c>
      <c r="K32" s="13">
        <v>6974.92</v>
      </c>
      <c r="L32" s="13">
        <v>1595.36</v>
      </c>
      <c r="M32" s="13">
        <v>10983.28</v>
      </c>
      <c r="N32" s="13">
        <v>1298.8800000000001</v>
      </c>
      <c r="O32" s="13">
        <v>2212.5</v>
      </c>
      <c r="P32" s="13">
        <v>5489.88</v>
      </c>
      <c r="Q32" s="13">
        <v>1641.96</v>
      </c>
      <c r="R32" s="37">
        <v>634.94000000000005</v>
      </c>
    </row>
    <row r="33" spans="1:19" x14ac:dyDescent="0.2">
      <c r="A33" s="27" t="s">
        <v>43</v>
      </c>
      <c r="B33" s="35">
        <f t="shared" si="3"/>
        <v>6.7293510324483774E-2</v>
      </c>
      <c r="C33" s="145">
        <f>E33-[1]US!E33</f>
        <v>-4260</v>
      </c>
      <c r="D33" s="84">
        <f>F33-[1]US!F33</f>
        <v>-2763</v>
      </c>
      <c r="E33" s="56">
        <v>5789</v>
      </c>
      <c r="F33" s="84">
        <v>5424</v>
      </c>
      <c r="G33" s="13">
        <v>4505.9799999999996</v>
      </c>
      <c r="H33" s="13">
        <v>4949.78</v>
      </c>
      <c r="I33" s="13">
        <v>1749.2</v>
      </c>
      <c r="J33" s="13">
        <v>5960.62</v>
      </c>
      <c r="K33" s="13">
        <v>4497.58</v>
      </c>
      <c r="L33" s="13">
        <v>3113.86</v>
      </c>
      <c r="M33" s="13">
        <v>4775.12</v>
      </c>
      <c r="N33" s="13">
        <v>3670.46</v>
      </c>
      <c r="O33" s="13">
        <v>2345</v>
      </c>
      <c r="P33" s="13">
        <v>4424.9799999999996</v>
      </c>
      <c r="Q33" s="13">
        <v>3653.84</v>
      </c>
      <c r="R33" s="37">
        <v>2265.58</v>
      </c>
    </row>
    <row r="34" spans="1:19" x14ac:dyDescent="0.2">
      <c r="A34" s="27" t="s">
        <v>44</v>
      </c>
      <c r="B34" s="35">
        <f t="shared" si="3"/>
        <v>4</v>
      </c>
      <c r="C34" s="145">
        <f>E34-[1]US!E34</f>
        <v>-109</v>
      </c>
      <c r="D34" s="84">
        <f>F34-[1]US!F34</f>
        <v>-249</v>
      </c>
      <c r="E34" s="56">
        <v>30</v>
      </c>
      <c r="F34" s="84">
        <v>6</v>
      </c>
      <c r="G34" s="13">
        <v>0</v>
      </c>
      <c r="H34" s="13">
        <v>1.54</v>
      </c>
      <c r="I34" s="13">
        <v>0</v>
      </c>
      <c r="J34" s="13">
        <v>29.58</v>
      </c>
      <c r="K34" s="13">
        <v>84.3</v>
      </c>
      <c r="L34" s="13">
        <v>12.5</v>
      </c>
      <c r="M34" s="13">
        <v>253.6</v>
      </c>
      <c r="N34" s="13">
        <v>15.42</v>
      </c>
      <c r="O34" s="13">
        <v>0.52</v>
      </c>
      <c r="P34" s="13">
        <v>90.98</v>
      </c>
      <c r="Q34" s="13">
        <v>1.96</v>
      </c>
      <c r="R34" s="37">
        <v>28.06</v>
      </c>
    </row>
    <row r="35" spans="1:19" x14ac:dyDescent="0.2">
      <c r="A35" s="53" t="s">
        <v>151</v>
      </c>
      <c r="B35" s="35">
        <f t="shared" si="3"/>
        <v>-1</v>
      </c>
      <c r="C35" s="145">
        <f>E35-[1]US!E35</f>
        <v>-18</v>
      </c>
      <c r="D35" s="84">
        <f>F35-[1]US!F35</f>
        <v>-5</v>
      </c>
      <c r="E35" s="56">
        <v>0</v>
      </c>
      <c r="F35" s="84">
        <v>4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70.06</v>
      </c>
      <c r="N35" s="13">
        <v>0</v>
      </c>
      <c r="O35" s="13"/>
      <c r="P35" s="13"/>
      <c r="Q35" s="13"/>
      <c r="R35" s="37"/>
    </row>
    <row r="36" spans="1:19" x14ac:dyDescent="0.2">
      <c r="A36" s="27" t="s">
        <v>45</v>
      </c>
      <c r="B36" s="35"/>
      <c r="C36" s="145">
        <f>E36-[1]US!E36</f>
        <v>-51</v>
      </c>
      <c r="D36" s="84">
        <f>F36-[1]US!F36</f>
        <v>-37</v>
      </c>
      <c r="E36" s="56">
        <v>17</v>
      </c>
      <c r="F36" s="84">
        <v>1</v>
      </c>
      <c r="G36" s="13">
        <v>14</v>
      </c>
      <c r="H36" s="13">
        <v>0</v>
      </c>
      <c r="I36" s="13">
        <v>0</v>
      </c>
      <c r="J36" s="13">
        <v>7</v>
      </c>
      <c r="K36" s="13">
        <v>46.86</v>
      </c>
      <c r="L36" s="13">
        <v>0.68</v>
      </c>
      <c r="M36" s="13">
        <v>21.34</v>
      </c>
      <c r="N36" s="13">
        <v>5.6</v>
      </c>
      <c r="O36" s="13">
        <v>11.22</v>
      </c>
      <c r="P36" s="13">
        <v>0</v>
      </c>
      <c r="Q36" s="13">
        <v>0</v>
      </c>
      <c r="R36" s="37">
        <v>13.18</v>
      </c>
    </row>
    <row r="37" spans="1:19" x14ac:dyDescent="0.2">
      <c r="A37" s="53" t="s">
        <v>165</v>
      </c>
      <c r="B37" s="35">
        <f t="shared" si="3"/>
        <v>-1</v>
      </c>
      <c r="C37" s="145">
        <f>E37-[1]US!E37</f>
        <v>-8</v>
      </c>
      <c r="D37" s="84">
        <f>F37-[1]US!F37</f>
        <v>-45</v>
      </c>
      <c r="E37" s="56">
        <v>0</v>
      </c>
      <c r="F37" s="84">
        <v>2</v>
      </c>
      <c r="G37" s="13">
        <v>0</v>
      </c>
      <c r="H37" s="13">
        <v>4</v>
      </c>
      <c r="I37" s="13">
        <v>0</v>
      </c>
      <c r="J37" s="13"/>
      <c r="K37" s="13"/>
      <c r="L37" s="13"/>
      <c r="M37" s="13"/>
      <c r="N37" s="13"/>
      <c r="O37" s="13"/>
      <c r="P37" s="13"/>
      <c r="Q37" s="13"/>
      <c r="R37" s="37"/>
    </row>
    <row r="38" spans="1:19" x14ac:dyDescent="0.2">
      <c r="A38" s="27" t="s">
        <v>46</v>
      </c>
      <c r="B38" s="35"/>
      <c r="C38" s="145">
        <f>E38-[1]US!E38</f>
        <v>0</v>
      </c>
      <c r="D38" s="84">
        <f>F38-[1]US!F38</f>
        <v>0</v>
      </c>
      <c r="E38" s="56"/>
      <c r="F38" s="84"/>
      <c r="G38" s="13">
        <v>0</v>
      </c>
      <c r="H38" s="13">
        <v>0</v>
      </c>
      <c r="I38" s="13">
        <v>0</v>
      </c>
      <c r="J38" s="13"/>
      <c r="K38" s="13"/>
      <c r="L38" s="13"/>
      <c r="M38" s="13">
        <v>21.24</v>
      </c>
      <c r="N38" s="13">
        <v>0</v>
      </c>
      <c r="O38" s="13">
        <v>6.14</v>
      </c>
      <c r="P38" s="13">
        <v>16.260000000000002</v>
      </c>
      <c r="Q38" s="13">
        <v>0</v>
      </c>
      <c r="R38" s="37">
        <v>0</v>
      </c>
    </row>
    <row r="39" spans="1:19" x14ac:dyDescent="0.2">
      <c r="A39" s="27" t="s">
        <v>48</v>
      </c>
      <c r="B39" s="35">
        <f t="shared" si="3"/>
        <v>-1</v>
      </c>
      <c r="C39" s="145">
        <f>E39-[1]US!E39</f>
        <v>0</v>
      </c>
      <c r="D39" s="84">
        <f>F39-[1]US!F39</f>
        <v>-88</v>
      </c>
      <c r="E39" s="56">
        <v>0</v>
      </c>
      <c r="F39" s="84">
        <v>13</v>
      </c>
      <c r="G39" s="13">
        <v>14.68</v>
      </c>
      <c r="H39" s="97">
        <v>6</v>
      </c>
      <c r="I39" s="13">
        <v>30.26</v>
      </c>
      <c r="J39" s="13">
        <v>64.28</v>
      </c>
      <c r="K39" s="13">
        <v>18.64</v>
      </c>
      <c r="L39" s="13">
        <v>54.72</v>
      </c>
      <c r="M39" s="13">
        <v>7.14</v>
      </c>
      <c r="N39" s="13">
        <v>0.08</v>
      </c>
      <c r="O39" s="13">
        <v>0.74</v>
      </c>
      <c r="P39" s="13">
        <v>116.66</v>
      </c>
      <c r="Q39" s="13">
        <v>49.3</v>
      </c>
      <c r="R39" s="37">
        <v>189.06</v>
      </c>
    </row>
    <row r="40" spans="1:19" ht="13.5" thickBot="1" x14ac:dyDescent="0.25">
      <c r="A40" s="38" t="s">
        <v>47</v>
      </c>
      <c r="B40" s="36" t="e">
        <f t="shared" si="3"/>
        <v>#DIV/0!</v>
      </c>
      <c r="C40" s="146">
        <f>E40-[1]US!E40</f>
        <v>-253</v>
      </c>
      <c r="D40" s="85">
        <f>F40-[1]US!F40</f>
        <v>-1090.82</v>
      </c>
      <c r="E40" s="57">
        <v>0</v>
      </c>
      <c r="F40" s="85">
        <v>0</v>
      </c>
      <c r="G40" s="15">
        <v>13.54</v>
      </c>
      <c r="H40" s="98">
        <v>0</v>
      </c>
      <c r="I40" s="98">
        <v>0</v>
      </c>
      <c r="J40" s="98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3</v>
      </c>
      <c r="R40" s="39">
        <v>0</v>
      </c>
    </row>
    <row r="41" spans="1:19" ht="13.5" thickBot="1" x14ac:dyDescent="0.25">
      <c r="A41" s="40" t="s">
        <v>23</v>
      </c>
      <c r="B41" s="41">
        <f t="shared" si="3"/>
        <v>-0.11194925908660705</v>
      </c>
      <c r="C41" s="171">
        <f>E41-[1]US!E41</f>
        <v>-37652</v>
      </c>
      <c r="D41" s="42">
        <f>F41-[1]US!F41</f>
        <v>-43808.820000000007</v>
      </c>
      <c r="E41" s="118">
        <f t="shared" ref="E41:J41" si="4">SUM(E31:E40)</f>
        <v>62866</v>
      </c>
      <c r="F41" s="42">
        <f t="shared" si="4"/>
        <v>70791</v>
      </c>
      <c r="G41" s="42">
        <f t="shared" si="4"/>
        <v>57209.84</v>
      </c>
      <c r="H41" s="42">
        <f t="shared" si="4"/>
        <v>57799.9</v>
      </c>
      <c r="I41" s="42">
        <f t="shared" si="4"/>
        <v>47126.32</v>
      </c>
      <c r="J41" s="42">
        <f t="shared" si="4"/>
        <v>76360.72</v>
      </c>
      <c r="K41" s="42">
        <f t="shared" ref="K41:R41" si="5">SUM(K31:K40)</f>
        <v>69296.98</v>
      </c>
      <c r="L41" s="42">
        <f t="shared" si="5"/>
        <v>55871</v>
      </c>
      <c r="M41" s="42">
        <f t="shared" si="5"/>
        <v>82512.259999999995</v>
      </c>
      <c r="N41" s="42">
        <f t="shared" si="5"/>
        <v>64106.6</v>
      </c>
      <c r="O41" s="42">
        <f t="shared" si="5"/>
        <v>61040.459999999992</v>
      </c>
      <c r="P41" s="42">
        <f t="shared" si="5"/>
        <v>53771.16</v>
      </c>
      <c r="Q41" s="42">
        <f t="shared" si="5"/>
        <v>56285.299999999996</v>
      </c>
      <c r="R41" s="42">
        <f t="shared" si="5"/>
        <v>33958.419999999991</v>
      </c>
    </row>
    <row r="48" spans="1:19" ht="18" x14ac:dyDescent="0.25">
      <c r="Q48" s="5"/>
      <c r="R48" s="1"/>
      <c r="S48" s="1"/>
    </row>
    <row r="49" spans="17:19" ht="18" x14ac:dyDescent="0.25">
      <c r="Q49" s="5"/>
      <c r="R49" s="1"/>
      <c r="S49" s="1"/>
    </row>
    <row r="50" spans="17:19" ht="18" x14ac:dyDescent="0.25">
      <c r="Q50" s="5"/>
      <c r="R50" s="1"/>
      <c r="S50" s="1"/>
    </row>
    <row r="51" spans="17:19" ht="18" x14ac:dyDescent="0.25">
      <c r="Q51" s="5"/>
      <c r="R51" s="1"/>
      <c r="S51" s="1"/>
    </row>
    <row r="52" spans="17:19" ht="18" x14ac:dyDescent="0.25">
      <c r="Q52" s="5"/>
      <c r="R52" s="1"/>
      <c r="S52" s="1"/>
    </row>
    <row r="53" spans="17:19" ht="18" x14ac:dyDescent="0.25">
      <c r="Q53" s="5"/>
      <c r="R53" s="1"/>
      <c r="S53" s="1"/>
    </row>
    <row r="54" spans="17:19" ht="18" x14ac:dyDescent="0.25">
      <c r="Q54" s="5"/>
      <c r="R54" s="1"/>
      <c r="S54" s="1"/>
    </row>
    <row r="55" spans="17:19" ht="18" x14ac:dyDescent="0.25">
      <c r="Q55" s="5"/>
      <c r="R55" s="1"/>
      <c r="S55" s="1"/>
    </row>
    <row r="56" spans="17:19" ht="18" x14ac:dyDescent="0.25">
      <c r="Q56" s="5"/>
      <c r="R56" s="1"/>
      <c r="S56" s="1"/>
    </row>
    <row r="57" spans="17:19" ht="18" x14ac:dyDescent="0.25">
      <c r="Q57" s="5"/>
      <c r="R57" s="1"/>
      <c r="S57" s="1"/>
    </row>
    <row r="58" spans="17:19" ht="18" x14ac:dyDescent="0.25">
      <c r="Q58" s="6"/>
      <c r="R58" s="1"/>
      <c r="S58" s="1"/>
    </row>
    <row r="59" spans="17:19" ht="18.75" x14ac:dyDescent="0.3">
      <c r="Q59" s="7"/>
      <c r="R59" s="2"/>
      <c r="S59" s="2"/>
    </row>
  </sheetData>
  <phoneticPr fontId="2" type="noConversion"/>
  <pageMargins left="0.75" right="0.75" top="1" bottom="1" header="0.5" footer="0.5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T81"/>
  <sheetViews>
    <sheetView zoomScale="77" zoomScaleNormal="77" workbookViewId="0">
      <selection activeCell="C35" sqref="C35"/>
    </sheetView>
  </sheetViews>
  <sheetFormatPr defaultRowHeight="12.75" x14ac:dyDescent="0.2"/>
  <cols>
    <col min="1" max="1" width="21.7109375" customWidth="1"/>
    <col min="2" max="2" width="10.7109375" style="16" customWidth="1"/>
    <col min="3" max="3" width="11.5703125" style="16" bestFit="1" customWidth="1"/>
    <col min="4" max="4" width="11.5703125" style="12" bestFit="1" customWidth="1"/>
    <col min="5" max="6" width="11.5703125" style="12" customWidth="1"/>
    <col min="7" max="7" width="11.85546875" style="12" customWidth="1"/>
    <col min="8" max="8" width="10.7109375" style="16" customWidth="1"/>
    <col min="9" max="16" width="10.140625" style="12" bestFit="1" customWidth="1"/>
    <col min="17" max="18" width="10.140625" bestFit="1" customWidth="1"/>
  </cols>
  <sheetData>
    <row r="1" spans="1:20" s="16" customFormat="1" ht="13.5" thickBot="1" x14ac:dyDescent="0.25">
      <c r="A1" s="31" t="s">
        <v>24</v>
      </c>
      <c r="B1" s="32" t="s">
        <v>174</v>
      </c>
      <c r="C1" s="62" t="s">
        <v>173</v>
      </c>
      <c r="D1" s="96" t="s">
        <v>168</v>
      </c>
      <c r="E1" s="128">
        <v>43922</v>
      </c>
      <c r="F1" s="136">
        <v>43556</v>
      </c>
      <c r="G1" s="136">
        <v>43191</v>
      </c>
      <c r="H1" s="33">
        <v>42826</v>
      </c>
      <c r="I1" s="33">
        <v>42461</v>
      </c>
      <c r="J1" s="33">
        <v>42095</v>
      </c>
      <c r="K1" s="33">
        <v>41730</v>
      </c>
      <c r="L1" s="33">
        <v>41365</v>
      </c>
      <c r="M1" s="33">
        <v>41000</v>
      </c>
      <c r="N1" s="33">
        <v>40634</v>
      </c>
      <c r="O1" s="33">
        <v>40269</v>
      </c>
      <c r="P1" s="33">
        <v>39904</v>
      </c>
      <c r="Q1" s="33">
        <v>39539</v>
      </c>
      <c r="R1" s="34">
        <v>39173</v>
      </c>
    </row>
    <row r="2" spans="1:20" x14ac:dyDescent="0.2">
      <c r="A2" s="27" t="s">
        <v>8</v>
      </c>
      <c r="B2" s="35">
        <f>(E2-F2)/F2</f>
        <v>-0.38355134138902791</v>
      </c>
      <c r="C2" s="144">
        <f>E2-'[1]EU - country'!E2</f>
        <v>-16399.400000000001</v>
      </c>
      <c r="D2" s="13">
        <f>F2-'[1]EU - country'!F2</f>
        <v>-13558.460000000021</v>
      </c>
      <c r="E2" s="125">
        <f>Austria!E$21</f>
        <v>45114.080000000002</v>
      </c>
      <c r="F2" s="13">
        <f>Austria!F$21</f>
        <v>73183.839999999997</v>
      </c>
      <c r="G2" s="13">
        <f>Austria!G$21</f>
        <v>27178</v>
      </c>
      <c r="H2" s="13">
        <f>Austria!H$21</f>
        <v>13851.8</v>
      </c>
      <c r="I2" s="13">
        <f>Austria!I$21</f>
        <v>76315.62</v>
      </c>
      <c r="J2" s="13">
        <f>Austria!J$21</f>
        <v>76178.22</v>
      </c>
      <c r="K2" s="13">
        <f>Austria!K$21</f>
        <v>77032</v>
      </c>
      <c r="L2" s="13">
        <f>Austria!L$21</f>
        <v>56929.320000000007</v>
      </c>
      <c r="M2" s="13">
        <f>Austria!M$21</f>
        <v>86832</v>
      </c>
      <c r="N2" s="13">
        <f>Austria!N$21</f>
        <v>78526</v>
      </c>
      <c r="O2" s="13">
        <f>Austria!O$21</f>
        <v>82632</v>
      </c>
      <c r="P2" s="13">
        <v>78965</v>
      </c>
      <c r="Q2" s="13">
        <v>62632</v>
      </c>
      <c r="R2" s="47">
        <v>60027</v>
      </c>
      <c r="T2" s="3"/>
    </row>
    <row r="3" spans="1:20" x14ac:dyDescent="0.2">
      <c r="A3" s="27" t="s">
        <v>0</v>
      </c>
      <c r="B3" s="35">
        <f t="shared" ref="B3:B15" si="0">(E3-F3)/F3</f>
        <v>4.0126658295572416E-2</v>
      </c>
      <c r="C3" s="144">
        <f>E3-'[1]EU - country'!E3</f>
        <v>-14335</v>
      </c>
      <c r="D3" s="13">
        <f>F3-'[1]EU - country'!F3</f>
        <v>-26120</v>
      </c>
      <c r="E3" s="125">
        <f>Belgium!E$10</f>
        <v>76208</v>
      </c>
      <c r="F3" s="13">
        <f>Belgium!F$10</f>
        <v>73268</v>
      </c>
      <c r="G3" s="13">
        <f>Belgium!G$10</f>
        <v>8257</v>
      </c>
      <c r="H3" s="13">
        <f>Belgium!H$10</f>
        <v>45613</v>
      </c>
      <c r="I3" s="13">
        <f>Belgium!I$10</f>
        <v>88378</v>
      </c>
      <c r="J3" s="13">
        <f>Belgium!J$10</f>
        <v>102838</v>
      </c>
      <c r="K3" s="13">
        <f>Belgium!K$10</f>
        <v>55031</v>
      </c>
      <c r="L3" s="13">
        <f>Belgium!L$10</f>
        <v>45956</v>
      </c>
      <c r="M3" s="13">
        <f>Belgium!M$10</f>
        <v>56410</v>
      </c>
      <c r="N3" s="13">
        <f>Belgium!N$10</f>
        <v>59307.255145342984</v>
      </c>
      <c r="O3" s="13">
        <f>Belgium!O$10</f>
        <v>92731</v>
      </c>
      <c r="P3" s="13">
        <v>136700</v>
      </c>
      <c r="Q3" s="13">
        <v>128100</v>
      </c>
      <c r="R3" s="47">
        <v>112200</v>
      </c>
    </row>
    <row r="4" spans="1:20" x14ac:dyDescent="0.2">
      <c r="A4" s="27" t="s">
        <v>31</v>
      </c>
      <c r="B4" s="35">
        <f t="shared" si="0"/>
        <v>-0.52105459985041136</v>
      </c>
      <c r="C4" s="144">
        <f>E4-'[1]EU - country'!E4</f>
        <v>-5326</v>
      </c>
      <c r="D4" s="13">
        <f>F4-'[1]EU - country'!F4</f>
        <v>-8659</v>
      </c>
      <c r="E4" s="125">
        <f>'Czech Republic'!E$12</f>
        <v>12807</v>
      </c>
      <c r="F4" s="13">
        <f>'Czech Republic'!F$12</f>
        <v>26740</v>
      </c>
      <c r="G4" s="13">
        <f>'Czech Republic'!G$12</f>
        <v>12952</v>
      </c>
      <c r="H4" s="13">
        <f>'Czech Republic'!H$12</f>
        <v>10518</v>
      </c>
      <c r="I4" s="13">
        <f>'Czech Republic'!I$12</f>
        <v>20007</v>
      </c>
      <c r="J4" s="13">
        <f>'Czech Republic'!J$12</f>
        <v>12168</v>
      </c>
      <c r="K4" s="13">
        <f>'Czech Republic'!K$12</f>
        <v>13775</v>
      </c>
      <c r="L4" s="13">
        <f>'Czech Republic'!L$12</f>
        <v>9819</v>
      </c>
      <c r="M4" s="13">
        <f>'Czech Republic'!M$12</f>
        <v>5977</v>
      </c>
      <c r="N4" s="13">
        <f>'Czech Republic'!N$12</f>
        <v>6570</v>
      </c>
      <c r="O4" s="13">
        <f>'Czech Republic'!O$12</f>
        <v>14995</v>
      </c>
      <c r="P4" s="13">
        <v>16065</v>
      </c>
      <c r="Q4" s="13">
        <v>5802</v>
      </c>
      <c r="R4" s="47">
        <v>13783</v>
      </c>
      <c r="T4" s="3"/>
    </row>
    <row r="5" spans="1:20" x14ac:dyDescent="0.2">
      <c r="A5" s="27" t="s">
        <v>40</v>
      </c>
      <c r="B5" s="35">
        <f t="shared" si="0"/>
        <v>-0.85980678499213659</v>
      </c>
      <c r="C5" s="144">
        <f>E5-'[1]EU - country'!E5</f>
        <v>-1997</v>
      </c>
      <c r="D5" s="13">
        <f>F5-'[1]EU - country'!F5</f>
        <v>-2549</v>
      </c>
      <c r="E5" s="125">
        <f>Denmark!E$20</f>
        <v>624</v>
      </c>
      <c r="F5" s="13">
        <f>Denmark!F$20</f>
        <v>4451</v>
      </c>
      <c r="G5" s="13">
        <f>Denmark!G$20</f>
        <v>1474</v>
      </c>
      <c r="H5" s="13">
        <f>Denmark!H$20</f>
        <v>3374</v>
      </c>
      <c r="I5" s="13">
        <f>Denmark!I$20</f>
        <v>3650</v>
      </c>
      <c r="J5" s="13">
        <f>Denmark!J$20</f>
        <v>1926</v>
      </c>
      <c r="K5" s="13">
        <f>Denmark!K$20</f>
        <v>1196</v>
      </c>
      <c r="L5" s="13">
        <f>Denmark!L$20</f>
        <v>473</v>
      </c>
      <c r="M5" s="13">
        <f>Denmark!M$20</f>
        <v>1196</v>
      </c>
      <c r="N5" s="13">
        <f>Denmark!N$20</f>
        <v>466</v>
      </c>
      <c r="O5" s="13">
        <f>Denmark!O$20</f>
        <v>1347</v>
      </c>
      <c r="P5" s="13">
        <v>1703</v>
      </c>
      <c r="Q5" s="13">
        <v>338</v>
      </c>
      <c r="R5" s="47">
        <v>0</v>
      </c>
      <c r="T5" s="3"/>
    </row>
    <row r="6" spans="1:20" ht="15" x14ac:dyDescent="0.25">
      <c r="A6" s="53" t="s">
        <v>132</v>
      </c>
      <c r="B6" s="35">
        <f t="shared" si="0"/>
        <v>8.4784383411637035E-2</v>
      </c>
      <c r="C6" s="144">
        <f>E6-'[1]EU - country'!E6</f>
        <v>-111665</v>
      </c>
      <c r="D6" s="13">
        <f>F6-'[1]EU - country'!F6</f>
        <v>-86049</v>
      </c>
      <c r="E6" s="125">
        <f>France!E$26</f>
        <v>330869</v>
      </c>
      <c r="F6" s="13">
        <f>France!F$26</f>
        <v>305009</v>
      </c>
      <c r="G6" s="13">
        <f>France!G$26</f>
        <v>249925</v>
      </c>
      <c r="H6" s="84">
        <f>France!H$26</f>
        <v>263713</v>
      </c>
      <c r="I6" s="84">
        <f>France!I$26</f>
        <v>267758</v>
      </c>
      <c r="J6" s="84">
        <f>France!J$26</f>
        <v>244349</v>
      </c>
      <c r="K6" s="84">
        <f>France!K$26</f>
        <v>330952</v>
      </c>
      <c r="L6" s="84">
        <f>France!L$26</f>
        <v>141787</v>
      </c>
      <c r="M6" s="84">
        <f>France!M$26</f>
        <v>254670</v>
      </c>
      <c r="N6" s="84">
        <f>France!N$26</f>
        <v>250129</v>
      </c>
      <c r="O6" s="84">
        <f>France!O$26</f>
        <v>285689</v>
      </c>
      <c r="P6" s="126"/>
      <c r="Q6" s="126"/>
      <c r="R6" s="127"/>
      <c r="T6" s="3"/>
    </row>
    <row r="7" spans="1:20" x14ac:dyDescent="0.2">
      <c r="A7" s="27" t="s">
        <v>28</v>
      </c>
      <c r="B7" s="35">
        <f t="shared" si="0"/>
        <v>-0.35746529707188257</v>
      </c>
      <c r="C7" s="144">
        <f>E7-'[1]EU - country'!E7</f>
        <v>-50629</v>
      </c>
      <c r="D7" s="13">
        <f>F7-'[1]EU - country'!F7</f>
        <v>-63068</v>
      </c>
      <c r="E7" s="125">
        <f>Germany!E$21</f>
        <v>121414</v>
      </c>
      <c r="F7" s="13">
        <f>Germany!F$21</f>
        <v>188961</v>
      </c>
      <c r="G7" s="13">
        <f>Germany!G$21</f>
        <v>74908</v>
      </c>
      <c r="H7" s="13">
        <f>Germany!H$21</f>
        <v>178868</v>
      </c>
      <c r="I7" s="13">
        <f>Germany!I$21</f>
        <v>166316</v>
      </c>
      <c r="J7" s="13">
        <f>Germany!J$21</f>
        <v>176047</v>
      </c>
      <c r="K7" s="13">
        <f>Germany!K$21</f>
        <v>132550</v>
      </c>
      <c r="L7" s="13">
        <f>Germany!L$21</f>
        <v>153150</v>
      </c>
      <c r="M7" s="13">
        <f>Germany!M$21</f>
        <v>157895</v>
      </c>
      <c r="N7" s="13">
        <f>Germany!N$21</f>
        <v>114708</v>
      </c>
      <c r="O7" s="13">
        <f>Germany!O$21</f>
        <v>157794</v>
      </c>
      <c r="P7" s="13">
        <v>137522</v>
      </c>
      <c r="Q7" s="13">
        <v>113628</v>
      </c>
      <c r="R7" s="47">
        <v>121361</v>
      </c>
      <c r="T7" s="3"/>
    </row>
    <row r="8" spans="1:20" x14ac:dyDescent="0.2">
      <c r="A8" s="27" t="s">
        <v>16</v>
      </c>
      <c r="B8" s="35">
        <f t="shared" si="0"/>
        <v>-0.19595848069983052</v>
      </c>
      <c r="C8" s="144">
        <f>E8-'[1]EU - country'!E8</f>
        <v>-224322.99386076699</v>
      </c>
      <c r="D8" s="13">
        <f>F8-'[1]EU - country'!F8</f>
        <v>-221083.45000000007</v>
      </c>
      <c r="E8" s="125">
        <f>Italy!E20</f>
        <v>556714.00613923301</v>
      </c>
      <c r="F8" s="13">
        <f>Italy!F$20</f>
        <v>692394.59999999986</v>
      </c>
      <c r="G8" s="13">
        <f>Italy!G$20</f>
        <v>326613</v>
      </c>
      <c r="H8" s="13">
        <f>Italy!H$20</f>
        <v>673776.64500000014</v>
      </c>
      <c r="I8" s="13">
        <f>Italy!I$20</f>
        <v>681203.5120000001</v>
      </c>
      <c r="J8" s="13">
        <f>Italy!J$20</f>
        <v>707376</v>
      </c>
      <c r="K8" s="13">
        <f>Italy!K$20</f>
        <v>608664</v>
      </c>
      <c r="L8" s="13">
        <f>Italy!L$20</f>
        <v>472911</v>
      </c>
      <c r="M8" s="13">
        <f>Italy!M$20</f>
        <v>596108</v>
      </c>
      <c r="N8" s="13">
        <f>Italy!N$20</f>
        <v>582902</v>
      </c>
      <c r="O8" s="13">
        <f>Italy!O$20</f>
        <v>585606.15999999992</v>
      </c>
      <c r="P8" s="13">
        <v>615685.20000000007</v>
      </c>
      <c r="Q8" s="13">
        <v>484917.1</v>
      </c>
      <c r="R8" s="47">
        <v>495348</v>
      </c>
    </row>
    <row r="9" spans="1:20" x14ac:dyDescent="0.2">
      <c r="A9" s="53" t="s">
        <v>32</v>
      </c>
      <c r="B9" s="35">
        <f t="shared" si="0"/>
        <v>-0.50526315789473686</v>
      </c>
      <c r="C9" s="144">
        <f>E9-'[1]EU - country'!E9</f>
        <v>-143000</v>
      </c>
      <c r="D9" s="13">
        <f>F9-'[1]EU - country'!F9</f>
        <v>-275000</v>
      </c>
      <c r="E9" s="125">
        <f>Poland!E$18</f>
        <v>329000</v>
      </c>
      <c r="F9" s="13">
        <f>Poland!F$18</f>
        <v>665000</v>
      </c>
      <c r="G9" s="13">
        <f>Poland!G$18</f>
        <v>286000</v>
      </c>
      <c r="H9" s="84">
        <f>Poland!H$18</f>
        <v>580000</v>
      </c>
      <c r="I9" s="84">
        <f>Poland!I$18</f>
        <v>595000</v>
      </c>
      <c r="J9" s="84">
        <f>Poland!J$18</f>
        <v>502000</v>
      </c>
      <c r="K9" s="84">
        <f>Poland!K$18</f>
        <v>495000</v>
      </c>
      <c r="L9" s="84">
        <f>Poland!L$18</f>
        <v>400000</v>
      </c>
      <c r="M9" s="84">
        <f>Poland!M$18</f>
        <v>385000</v>
      </c>
      <c r="N9" s="84">
        <f>Poland!N$18</f>
        <v>130000</v>
      </c>
      <c r="O9" s="84">
        <f>Poland!O$18</f>
        <v>250000</v>
      </c>
      <c r="P9" s="84">
        <v>165000</v>
      </c>
      <c r="Q9" s="84">
        <v>80000</v>
      </c>
      <c r="R9" s="86">
        <v>110000</v>
      </c>
      <c r="T9" s="3"/>
    </row>
    <row r="10" spans="1:20" x14ac:dyDescent="0.2">
      <c r="A10" s="53" t="s">
        <v>146</v>
      </c>
      <c r="B10" s="35"/>
      <c r="C10" s="144">
        <f>E10-'[1]EU - country'!E10</f>
        <v>0</v>
      </c>
      <c r="D10" s="13">
        <f>F10-'[1]EU - country'!F10</f>
        <v>0</v>
      </c>
      <c r="E10" s="125">
        <f>Portugal!E$9</f>
        <v>0</v>
      </c>
      <c r="F10" s="13"/>
      <c r="G10" s="13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6"/>
      <c r="T10" s="3"/>
    </row>
    <row r="11" spans="1:20" x14ac:dyDescent="0.2">
      <c r="A11" s="27" t="s">
        <v>37</v>
      </c>
      <c r="B11" s="35">
        <f t="shared" si="0"/>
        <v>0.31945868825160345</v>
      </c>
      <c r="C11" s="144">
        <f>E11-'[1]EU - country'!E11</f>
        <v>-41158.937969485531</v>
      </c>
      <c r="D11" s="13">
        <f>F11-'[1]EU - country'!F11</f>
        <v>-34025</v>
      </c>
      <c r="E11" s="125">
        <f>Spain!E$8</f>
        <v>147270.06203051447</v>
      </c>
      <c r="F11" s="13">
        <f>Spain!F$8</f>
        <v>111614</v>
      </c>
      <c r="G11" s="13">
        <f>Spain!G$8</f>
        <v>88490</v>
      </c>
      <c r="H11" s="13">
        <f>Spain!H$8</f>
        <v>125751.73689310774</v>
      </c>
      <c r="I11" s="13">
        <f>Spain!I$8</f>
        <v>90361.609288090141</v>
      </c>
      <c r="J11" s="13">
        <f>Spain!J$8</f>
        <v>101100.77488239626</v>
      </c>
      <c r="K11" s="13">
        <f>Spain!K$8</f>
        <v>89872.261951597146</v>
      </c>
      <c r="L11" s="13">
        <f>Spain!L$8</f>
        <v>54084.798070911478</v>
      </c>
      <c r="M11" s="13">
        <f>Spain!M$8</f>
        <v>96055.348517834558</v>
      </c>
      <c r="N11" s="13">
        <f>Spain!N$8</f>
        <v>82666</v>
      </c>
      <c r="O11" s="13">
        <f>Spain!O$8</f>
        <v>74812.849279070084</v>
      </c>
      <c r="P11" s="13">
        <v>106287.422811934</v>
      </c>
      <c r="Q11" s="13">
        <v>76346</v>
      </c>
      <c r="R11" s="47">
        <v>64969</v>
      </c>
      <c r="T11" s="3"/>
    </row>
    <row r="12" spans="1:20" x14ac:dyDescent="0.2">
      <c r="A12" s="27" t="s">
        <v>60</v>
      </c>
      <c r="B12" s="35">
        <f t="shared" si="0"/>
        <v>-0.23262807432069596</v>
      </c>
      <c r="C12" s="144">
        <f>E12-'[1]EU - country'!E12</f>
        <v>-9617</v>
      </c>
      <c r="D12" s="13">
        <f>F12-'[1]EU - country'!F12</f>
        <v>-8825</v>
      </c>
      <c r="E12" s="125">
        <f>Switzerland!E$19</f>
        <v>28580</v>
      </c>
      <c r="F12" s="13">
        <f>Switzerland!F$19</f>
        <v>37244</v>
      </c>
      <c r="G12" s="13">
        <f>Switzerland!G$19</f>
        <v>13907</v>
      </c>
      <c r="H12" s="13">
        <f>Switzerland!H$19</f>
        <v>30918</v>
      </c>
      <c r="I12" s="13">
        <f>Switzerland!I$19</f>
        <v>30382</v>
      </c>
      <c r="J12" s="13">
        <f>Switzerland!J$19</f>
        <v>31764</v>
      </c>
      <c r="K12" s="13">
        <f>Switzerland!K$19</f>
        <v>31344</v>
      </c>
      <c r="L12" s="13">
        <f>Switzerland!L$19</f>
        <v>30154</v>
      </c>
      <c r="M12" s="13">
        <f>Switzerland!M$19</f>
        <v>35087</v>
      </c>
      <c r="N12" s="13">
        <f>Switzerland!N$19</f>
        <v>32973</v>
      </c>
      <c r="O12" s="13">
        <f>Switzerland!O$19</f>
        <v>34082</v>
      </c>
      <c r="P12" s="13">
        <v>29195</v>
      </c>
      <c r="Q12" s="13">
        <v>31751</v>
      </c>
      <c r="R12" s="47">
        <v>31042</v>
      </c>
      <c r="T12" s="3"/>
    </row>
    <row r="13" spans="1:20" x14ac:dyDescent="0.2">
      <c r="A13" s="27" t="s">
        <v>1</v>
      </c>
      <c r="B13" s="35">
        <f t="shared" si="0"/>
        <v>0.13582619541561136</v>
      </c>
      <c r="C13" s="144">
        <f>E13-'[1]EU - country'!E13</f>
        <v>-25455</v>
      </c>
      <c r="D13" s="13">
        <f>F13-'[1]EU - country'!F13</f>
        <v>-24169.5</v>
      </c>
      <c r="E13" s="125">
        <f>Netherlands!E$8</f>
        <v>89243</v>
      </c>
      <c r="F13" s="13">
        <f>Netherlands!F$8</f>
        <v>78571</v>
      </c>
      <c r="G13" s="13">
        <f>Netherlands!G$8</f>
        <v>55913</v>
      </c>
      <c r="H13" s="13">
        <f>Netherlands!H$8</f>
        <v>107718</v>
      </c>
      <c r="I13" s="13">
        <f>Netherlands!I$8</f>
        <v>108329</v>
      </c>
      <c r="J13" s="13">
        <f>Netherlands!J$8</f>
        <v>118613</v>
      </c>
      <c r="K13" s="13">
        <f>Netherlands!K$8</f>
        <v>106000</v>
      </c>
      <c r="L13" s="13">
        <f>Netherlands!L$8</f>
        <v>84000</v>
      </c>
      <c r="M13" s="13">
        <f>Netherlands!M$8</f>
        <v>132000</v>
      </c>
      <c r="N13" s="13">
        <f>Netherlands!N$8</f>
        <v>85000</v>
      </c>
      <c r="O13" s="13">
        <f>Netherlands!O$8</f>
        <v>125000</v>
      </c>
      <c r="P13" s="13">
        <v>120000</v>
      </c>
      <c r="Q13" s="13">
        <v>113000</v>
      </c>
      <c r="R13" s="47">
        <v>105000</v>
      </c>
    </row>
    <row r="14" spans="1:20" ht="13.5" thickBot="1" x14ac:dyDescent="0.25">
      <c r="A14" s="38" t="s">
        <v>166</v>
      </c>
      <c r="B14" s="36">
        <f t="shared" si="0"/>
        <v>-0.21746413225548031</v>
      </c>
      <c r="C14" s="143">
        <f>E14-'[1]EU - country'!E14</f>
        <v>-27661</v>
      </c>
      <c r="D14" s="15">
        <f>F14-'[1]EU - country'!F14</f>
        <v>-23174</v>
      </c>
      <c r="E14" s="129">
        <f>UK!E$12</f>
        <v>32235</v>
      </c>
      <c r="F14" s="15">
        <f>UK!F$12</f>
        <v>41193</v>
      </c>
      <c r="G14" s="15">
        <f>UK!G$12</f>
        <v>28086</v>
      </c>
      <c r="H14" s="15">
        <f>UK!H$12</f>
        <v>33420</v>
      </c>
      <c r="I14" s="15">
        <f>UK!I$12</f>
        <v>37050</v>
      </c>
      <c r="J14" s="15">
        <f>UK!J$12</f>
        <v>35400</v>
      </c>
      <c r="K14" s="15">
        <f>UK!K$12</f>
        <v>37500</v>
      </c>
      <c r="L14" s="15">
        <f>UK!L$12</f>
        <v>12400</v>
      </c>
      <c r="M14" s="15">
        <f>UK!M$12</f>
        <v>32100</v>
      </c>
      <c r="N14" s="15">
        <f>UK!N$12</f>
        <v>31500</v>
      </c>
      <c r="O14" s="15">
        <f>UK!O$12</f>
        <v>31500</v>
      </c>
      <c r="P14" s="15">
        <v>31000</v>
      </c>
      <c r="Q14" s="15">
        <v>22500</v>
      </c>
      <c r="R14" s="48">
        <v>25000</v>
      </c>
    </row>
    <row r="15" spans="1:20" ht="13.5" thickBot="1" x14ac:dyDescent="0.25">
      <c r="A15" s="40" t="s">
        <v>23</v>
      </c>
      <c r="B15" s="41">
        <f t="shared" si="0"/>
        <v>-0.2296067775969359</v>
      </c>
      <c r="C15" s="173">
        <f>E15-'[1]EU - country'!E15</f>
        <v>-671566.33183025243</v>
      </c>
      <c r="D15" s="42">
        <f>F15-'[1]EU - country'!F15</f>
        <v>-786280.41000000015</v>
      </c>
      <c r="E15" s="118">
        <f>SUM(E2:E14)</f>
        <v>1770078.1481697476</v>
      </c>
      <c r="F15" s="42">
        <f>SUM(F2:F14)</f>
        <v>2297629.44</v>
      </c>
      <c r="G15" s="42">
        <f t="shared" ref="G15:L15" si="1">SUM(G2:G14)</f>
        <v>1173703</v>
      </c>
      <c r="H15" s="42">
        <f t="shared" si="1"/>
        <v>2067522.1818931077</v>
      </c>
      <c r="I15" s="42">
        <f t="shared" si="1"/>
        <v>2164750.7412880901</v>
      </c>
      <c r="J15" s="42">
        <f t="shared" si="1"/>
        <v>2109759.9948823964</v>
      </c>
      <c r="K15" s="42">
        <f t="shared" si="1"/>
        <v>1978916.2619515972</v>
      </c>
      <c r="L15" s="42">
        <f t="shared" si="1"/>
        <v>1461664.1180709116</v>
      </c>
      <c r="M15" s="42">
        <f t="shared" ref="M15:R15" si="2">SUM(M2:M14)</f>
        <v>1839330.3485178347</v>
      </c>
      <c r="N15" s="42">
        <f t="shared" si="2"/>
        <v>1454747.255145343</v>
      </c>
      <c r="O15" s="42">
        <f t="shared" si="2"/>
        <v>1736189.00927907</v>
      </c>
      <c r="P15" s="42">
        <f t="shared" si="2"/>
        <v>1438122.6228119342</v>
      </c>
      <c r="Q15" s="42">
        <f t="shared" si="2"/>
        <v>1119014.1000000001</v>
      </c>
      <c r="R15" s="49">
        <f t="shared" si="2"/>
        <v>1138730</v>
      </c>
    </row>
    <row r="16" spans="1:20" s="9" customFormat="1" x14ac:dyDescent="0.2">
      <c r="A16" s="12"/>
      <c r="B16" s="44"/>
      <c r="C16" s="44"/>
      <c r="D16" s="44"/>
      <c r="E16" s="44"/>
      <c r="F16" s="44"/>
      <c r="G16" s="44"/>
      <c r="H16" s="44"/>
      <c r="I16" s="12"/>
      <c r="J16" s="12"/>
      <c r="K16" s="12"/>
      <c r="L16" s="12"/>
      <c r="M16" s="12"/>
      <c r="N16" s="12"/>
      <c r="O16" s="12"/>
      <c r="P16" s="12"/>
      <c r="Q16" s="8"/>
      <c r="R16" s="8"/>
    </row>
    <row r="17" spans="1:20" s="9" customFormat="1" ht="13.5" thickBot="1" x14ac:dyDescent="0.25">
      <c r="A17" s="12"/>
      <c r="B17" s="44"/>
      <c r="C17" s="44"/>
      <c r="D17" s="44"/>
      <c r="E17" s="44"/>
      <c r="F17" s="44"/>
      <c r="G17" s="44"/>
      <c r="H17" s="44"/>
      <c r="I17" s="12"/>
      <c r="J17" s="12"/>
      <c r="K17" s="12"/>
      <c r="L17" s="12"/>
      <c r="M17" s="12"/>
      <c r="N17" s="12"/>
      <c r="O17" s="12"/>
      <c r="P17" s="12"/>
      <c r="Q17" s="8"/>
      <c r="R17" s="8"/>
    </row>
    <row r="18" spans="1:20" s="16" customFormat="1" ht="13.5" thickBot="1" x14ac:dyDescent="0.25">
      <c r="A18" s="31" t="s">
        <v>25</v>
      </c>
      <c r="B18" s="32" t="s">
        <v>174</v>
      </c>
      <c r="C18" s="62" t="s">
        <v>173</v>
      </c>
      <c r="D18" s="96" t="s">
        <v>168</v>
      </c>
      <c r="E18" s="128">
        <v>43922</v>
      </c>
      <c r="F18" s="136">
        <v>43556</v>
      </c>
      <c r="G18" s="136">
        <v>43191</v>
      </c>
      <c r="H18" s="33">
        <v>42826</v>
      </c>
      <c r="I18" s="33">
        <v>42461</v>
      </c>
      <c r="J18" s="33">
        <v>42095</v>
      </c>
      <c r="K18" s="33">
        <v>41730</v>
      </c>
      <c r="L18" s="33">
        <v>41365</v>
      </c>
      <c r="M18" s="33">
        <v>41000</v>
      </c>
      <c r="N18" s="33">
        <v>40634</v>
      </c>
      <c r="O18" s="33">
        <v>40269</v>
      </c>
      <c r="P18" s="33">
        <v>39904</v>
      </c>
      <c r="Q18" s="33">
        <v>39539</v>
      </c>
      <c r="R18" s="34">
        <v>39173</v>
      </c>
      <c r="S18" s="12"/>
    </row>
    <row r="19" spans="1:20" x14ac:dyDescent="0.2">
      <c r="A19" s="27" t="s">
        <v>0</v>
      </c>
      <c r="B19" s="35">
        <f t="shared" ref="B19:B31" si="3">(E19-F19)/F19</f>
        <v>-0.18140005907422255</v>
      </c>
      <c r="C19" s="144">
        <f>E19-'[1]EU - country'!E19</f>
        <v>-36276</v>
      </c>
      <c r="D19" s="13">
        <f>F19-'[1]EU - country'!F19</f>
        <v>-61778</v>
      </c>
      <c r="E19" s="125">
        <f>Belgium!E$19</f>
        <v>58200</v>
      </c>
      <c r="F19" s="13">
        <f>Belgium!F$19</f>
        <v>71097</v>
      </c>
      <c r="G19" s="13">
        <f>Belgium!G$19</f>
        <v>40294</v>
      </c>
      <c r="H19" s="13">
        <f>Belgium!H$19</f>
        <v>57025</v>
      </c>
      <c r="I19" s="13">
        <f>Belgium!I$19</f>
        <v>86331</v>
      </c>
      <c r="J19" s="13">
        <f>Belgium!J$19</f>
        <v>66712</v>
      </c>
      <c r="K19" s="13">
        <f>Belgium!K$19</f>
        <v>38135</v>
      </c>
      <c r="L19" s="13">
        <f>Belgium!L$19</f>
        <v>29495</v>
      </c>
      <c r="M19" s="13">
        <f>Belgium!M$19</f>
        <v>34230</v>
      </c>
      <c r="N19" s="13">
        <f>Belgium!N$19</f>
        <v>50300</v>
      </c>
      <c r="O19" s="13">
        <v>44300</v>
      </c>
      <c r="P19" s="13">
        <v>8500</v>
      </c>
      <c r="Q19" s="13">
        <v>62800</v>
      </c>
      <c r="R19" s="47">
        <v>68000</v>
      </c>
    </row>
    <row r="20" spans="1:20" x14ac:dyDescent="0.2">
      <c r="A20" s="27" t="s">
        <v>31</v>
      </c>
      <c r="B20" s="35">
        <f t="shared" si="3"/>
        <v>-0.36275375110326569</v>
      </c>
      <c r="C20" s="144">
        <f>E20-'[1]EU - country'!E20</f>
        <v>-569</v>
      </c>
      <c r="D20" s="13">
        <f>F20-'[1]EU - country'!F20</f>
        <v>-269</v>
      </c>
      <c r="E20" s="125">
        <f>'Czech Republic'!E$21</f>
        <v>722</v>
      </c>
      <c r="F20" s="13">
        <f>'Czech Republic'!F$21</f>
        <v>1133</v>
      </c>
      <c r="G20" s="13">
        <f>'Czech Republic'!G$21</f>
        <v>845</v>
      </c>
      <c r="H20" s="13">
        <f>'Czech Republic'!H$21</f>
        <v>518</v>
      </c>
      <c r="I20" s="13">
        <f>'Czech Republic'!I$21</f>
        <v>706</v>
      </c>
      <c r="J20" s="13">
        <f>'Czech Republic'!J$21</f>
        <v>3</v>
      </c>
      <c r="K20" s="13">
        <f>'Czech Republic'!K$21</f>
        <v>917</v>
      </c>
      <c r="L20" s="13">
        <f>'Czech Republic'!L$21</f>
        <v>0</v>
      </c>
      <c r="M20" s="13">
        <f>'Czech Republic'!M$21</f>
        <v>16</v>
      </c>
      <c r="N20" s="13">
        <f>'Czech Republic'!N$21</f>
        <v>18</v>
      </c>
      <c r="O20" s="13">
        <v>0</v>
      </c>
      <c r="P20" s="13">
        <v>0</v>
      </c>
      <c r="Q20" s="13">
        <v>0</v>
      </c>
      <c r="R20" s="47">
        <v>0</v>
      </c>
    </row>
    <row r="21" spans="1:20" x14ac:dyDescent="0.2">
      <c r="A21" s="27" t="s">
        <v>40</v>
      </c>
      <c r="B21" s="35">
        <f t="shared" si="3"/>
        <v>-0.84297520661157022</v>
      </c>
      <c r="C21" s="144">
        <f>E21-'[1]EU - country'!E21</f>
        <v>-11</v>
      </c>
      <c r="D21" s="13">
        <f>F21-'[1]EU - country'!F21</f>
        <v>-139</v>
      </c>
      <c r="E21" s="125">
        <f>Denmark!E$27</f>
        <v>19</v>
      </c>
      <c r="F21" s="13">
        <f>Denmark!F$27</f>
        <v>121</v>
      </c>
      <c r="G21" s="13">
        <f>Denmark!G$27</f>
        <v>0</v>
      </c>
      <c r="H21" s="13">
        <f>Denmark!H$27</f>
        <v>0</v>
      </c>
      <c r="I21" s="13">
        <f>Denmark!I$27</f>
        <v>72</v>
      </c>
      <c r="J21" s="13">
        <f>Denmark!J$27</f>
        <v>0</v>
      </c>
      <c r="K21" s="13">
        <f>Denmark!K$27</f>
        <v>0</v>
      </c>
      <c r="L21" s="13">
        <f>Denmark!L$27</f>
        <v>0</v>
      </c>
      <c r="M21" s="13">
        <f>Denmark!M$27</f>
        <v>0</v>
      </c>
      <c r="N21" s="13">
        <f>Denmark!N$27</f>
        <v>0</v>
      </c>
      <c r="O21" s="13">
        <v>0</v>
      </c>
      <c r="P21" s="13">
        <v>0</v>
      </c>
      <c r="Q21" s="13">
        <v>0</v>
      </c>
      <c r="R21" s="47">
        <v>0</v>
      </c>
      <c r="T21" s="3"/>
    </row>
    <row r="22" spans="1:20" x14ac:dyDescent="0.2">
      <c r="A22" s="27" t="s">
        <v>132</v>
      </c>
      <c r="B22" s="35">
        <f t="shared" si="3"/>
        <v>-0.48120698782424565</v>
      </c>
      <c r="C22" s="144">
        <f>E22-'[1]EU - country'!E22</f>
        <v>-1303</v>
      </c>
      <c r="D22" s="13">
        <f>F22-'[1]EU - country'!F22</f>
        <v>-2285</v>
      </c>
      <c r="E22" s="125">
        <f>France!E$38</f>
        <v>980</v>
      </c>
      <c r="F22" s="13">
        <f>France!F$38</f>
        <v>1889</v>
      </c>
      <c r="G22" s="13">
        <f>France!G$38</f>
        <v>1499</v>
      </c>
      <c r="H22" s="13">
        <f>France!H$38</f>
        <v>1238</v>
      </c>
      <c r="I22" s="13">
        <f>France!I$38</f>
        <v>820</v>
      </c>
      <c r="J22" s="13">
        <f>France!J$38</f>
        <v>2068</v>
      </c>
      <c r="K22" s="13">
        <f>France!K$38</f>
        <v>2056</v>
      </c>
      <c r="L22" s="13">
        <f>France!L$38</f>
        <v>235</v>
      </c>
      <c r="M22" s="13">
        <f>France!M$38</f>
        <v>3695</v>
      </c>
      <c r="N22" s="13">
        <f>France!N$38</f>
        <v>0</v>
      </c>
      <c r="O22" s="13">
        <f>France!O$38</f>
        <v>0</v>
      </c>
      <c r="P22" s="13">
        <f>France!P$38</f>
        <v>0</v>
      </c>
      <c r="Q22" s="13">
        <f>France!Q$38</f>
        <v>0</v>
      </c>
      <c r="R22" s="47">
        <f>France!R$38</f>
        <v>0</v>
      </c>
      <c r="T22" s="3"/>
    </row>
    <row r="23" spans="1:20" x14ac:dyDescent="0.2">
      <c r="A23" s="27" t="s">
        <v>28</v>
      </c>
      <c r="B23" s="35">
        <f t="shared" si="3"/>
        <v>-0.52009744214372711</v>
      </c>
      <c r="C23" s="144">
        <f>E23-'[1]EU - country'!E23</f>
        <v>-746</v>
      </c>
      <c r="D23" s="13">
        <f>F23-'[1]EU - country'!F23</f>
        <v>-376</v>
      </c>
      <c r="E23" s="125">
        <f>Germany!E$26</f>
        <v>394</v>
      </c>
      <c r="F23" s="13">
        <f>Germany!F$26</f>
        <v>821</v>
      </c>
      <c r="G23" s="13">
        <f>Germany!G$26</f>
        <v>393</v>
      </c>
      <c r="H23" s="13">
        <f>Germany!H$26</f>
        <v>53</v>
      </c>
      <c r="I23" s="13">
        <f>Germany!I$26</f>
        <v>119</v>
      </c>
      <c r="J23" s="13">
        <f>Germany!J$26</f>
        <v>585</v>
      </c>
      <c r="K23" s="13">
        <f>Germany!K$26</f>
        <v>360</v>
      </c>
      <c r="L23" s="13">
        <f>Germany!L$26</f>
        <v>66</v>
      </c>
      <c r="M23" s="13">
        <f>Germany!M$26</f>
        <v>361</v>
      </c>
      <c r="N23" s="13">
        <f>Germany!N$26</f>
        <v>9</v>
      </c>
      <c r="O23" s="13">
        <v>147</v>
      </c>
      <c r="P23" s="13">
        <v>111</v>
      </c>
      <c r="Q23" s="13">
        <v>184</v>
      </c>
      <c r="R23" s="47">
        <v>84</v>
      </c>
      <c r="T23" s="3"/>
    </row>
    <row r="24" spans="1:20" x14ac:dyDescent="0.2">
      <c r="A24" s="27" t="s">
        <v>16</v>
      </c>
      <c r="B24" s="35">
        <f t="shared" si="3"/>
        <v>-1</v>
      </c>
      <c r="C24" s="144">
        <f>E24-'[1]EU - country'!E24</f>
        <v>0</v>
      </c>
      <c r="D24" s="13">
        <f>F24-'[1]EU - country'!F24</f>
        <v>-52693.381965855922</v>
      </c>
      <c r="E24" s="125">
        <f>Italy!E$29</f>
        <v>0</v>
      </c>
      <c r="F24" s="13">
        <f>Italy!F$29</f>
        <v>49434.241774224749</v>
      </c>
      <c r="G24" s="13">
        <f>Italy!G$29</f>
        <v>55494.568382426565</v>
      </c>
      <c r="H24" s="13">
        <f>Italy!H$29</f>
        <v>34705.11771994747</v>
      </c>
      <c r="I24" s="13">
        <f>Italy!I$29</f>
        <v>60231.757266306835</v>
      </c>
      <c r="J24" s="13">
        <f>Italy!J$29</f>
        <v>38561.654174636344</v>
      </c>
      <c r="K24" s="13">
        <f>Italy!K$29</f>
        <v>70016</v>
      </c>
      <c r="L24" s="13">
        <f>Italy!L$29</f>
        <v>24763.962693378642</v>
      </c>
      <c r="M24" s="13">
        <f>Italy!M$29</f>
        <v>87321.617973590008</v>
      </c>
      <c r="N24" s="13">
        <f>Italy!N$29</f>
        <v>28136</v>
      </c>
      <c r="O24" s="13">
        <v>56285</v>
      </c>
      <c r="P24" s="13">
        <v>35144</v>
      </c>
      <c r="Q24" s="13">
        <v>36312</v>
      </c>
      <c r="R24" s="47">
        <v>45454</v>
      </c>
      <c r="T24" s="3"/>
    </row>
    <row r="25" spans="1:20" x14ac:dyDescent="0.2">
      <c r="A25" s="53" t="s">
        <v>32</v>
      </c>
      <c r="B25" s="35"/>
      <c r="C25" s="144">
        <f>E25-'[1]EU - country'!E25</f>
        <v>0</v>
      </c>
      <c r="D25" s="13">
        <f>F25-'[1]EU - country'!F25</f>
        <v>-2000</v>
      </c>
      <c r="E25" s="125">
        <f>Poland!E$25</f>
        <v>0</v>
      </c>
      <c r="F25" s="13">
        <f>Poland!F$25</f>
        <v>0</v>
      </c>
      <c r="G25" s="13">
        <f>Poland!G$25</f>
        <v>0</v>
      </c>
      <c r="H25" s="84">
        <f>Poland!H$25</f>
        <v>0</v>
      </c>
      <c r="I25" s="84">
        <f>Poland!I$25</f>
        <v>1000</v>
      </c>
      <c r="J25" s="84">
        <f>Poland!J$25</f>
        <v>0</v>
      </c>
      <c r="K25" s="84">
        <f>Poland!K$25</f>
        <v>2000</v>
      </c>
      <c r="L25" s="84">
        <f>Poland!L$25</f>
        <v>0</v>
      </c>
      <c r="M25" s="84">
        <f>Poland!M$25</f>
        <v>0</v>
      </c>
      <c r="N25" s="84">
        <f>Poland!N$25</f>
        <v>0</v>
      </c>
      <c r="O25" s="84">
        <v>4000</v>
      </c>
      <c r="P25" s="84">
        <v>1000</v>
      </c>
      <c r="Q25" s="84">
        <v>0</v>
      </c>
      <c r="R25" s="86">
        <v>2000</v>
      </c>
      <c r="T25" s="3"/>
    </row>
    <row r="26" spans="1:20" x14ac:dyDescent="0.2">
      <c r="A26" s="53" t="s">
        <v>167</v>
      </c>
      <c r="B26" s="35">
        <f t="shared" si="3"/>
        <v>-1</v>
      </c>
      <c r="C26" s="144">
        <f>E26-'[1]EU - country'!E26</f>
        <v>-46875</v>
      </c>
      <c r="D26" s="13">
        <f>F26-'[1]EU - country'!F26</f>
        <v>-16465</v>
      </c>
      <c r="E26" s="125">
        <f>Portugal!E$14</f>
        <v>0</v>
      </c>
      <c r="F26" s="13">
        <f>Portugal!F$14</f>
        <v>24870</v>
      </c>
      <c r="G26" s="13">
        <f>Portugal!G$14</f>
        <v>0</v>
      </c>
      <c r="H26" s="84">
        <f>Portugal!H$14</f>
        <v>0</v>
      </c>
      <c r="I26" s="84">
        <f>Portugal!I$14</f>
        <v>0</v>
      </c>
      <c r="J26" s="84">
        <f>Portugal!J$14</f>
        <v>0</v>
      </c>
      <c r="K26" s="84">
        <f>Portugal!K$14</f>
        <v>0</v>
      </c>
      <c r="L26" s="84">
        <f>Portugal!L$14</f>
        <v>0</v>
      </c>
      <c r="M26" s="84">
        <f>Portugal!M$14</f>
        <v>0</v>
      </c>
      <c r="N26" s="84">
        <f>Portugal!N$14</f>
        <v>7940</v>
      </c>
      <c r="O26" s="84"/>
      <c r="P26" s="84"/>
      <c r="Q26" s="84"/>
      <c r="R26" s="86"/>
      <c r="T26" s="3"/>
    </row>
    <row r="27" spans="1:20" x14ac:dyDescent="0.2">
      <c r="A27" s="27" t="s">
        <v>37</v>
      </c>
      <c r="B27" s="35">
        <f t="shared" si="3"/>
        <v>7.8332900480809264E-2</v>
      </c>
      <c r="C27" s="144">
        <f>E27-'[1]EU - country'!E27</f>
        <v>-13413.168093107597</v>
      </c>
      <c r="D27" s="13">
        <f>F27-'[1]EU - country'!F27</f>
        <v>-13698</v>
      </c>
      <c r="E27" s="125">
        <f>Spain!E$17</f>
        <v>28465.831906892403</v>
      </c>
      <c r="F27" s="13">
        <f>Spain!F$17</f>
        <v>26398</v>
      </c>
      <c r="G27" s="13">
        <f>Spain!G$17</f>
        <v>33499</v>
      </c>
      <c r="H27" s="13">
        <f>Spain!H$17</f>
        <v>23171.754472467466</v>
      </c>
      <c r="I27" s="13">
        <f>Spain!I$17</f>
        <v>30377.033850910571</v>
      </c>
      <c r="J27" s="13">
        <f>Spain!J$17</f>
        <v>34942.833516708422</v>
      </c>
      <c r="K27" s="13">
        <f>Spain!K$17</f>
        <v>40301.007640853895</v>
      </c>
      <c r="L27" s="13">
        <f>Spain!L$17</f>
        <v>14668.174493191973</v>
      </c>
      <c r="M27" s="13">
        <f>Spain!M$17</f>
        <v>58975.560223460518</v>
      </c>
      <c r="N27" s="13">
        <f>Spain!N$17</f>
        <v>50980</v>
      </c>
      <c r="O27" s="13">
        <v>35176.848959344396</v>
      </c>
      <c r="P27" s="13">
        <v>36206.771489076338</v>
      </c>
      <c r="Q27" s="13">
        <v>34091</v>
      </c>
      <c r="R27" s="47">
        <v>40882</v>
      </c>
      <c r="T27" s="3"/>
    </row>
    <row r="28" spans="1:20" x14ac:dyDescent="0.2">
      <c r="A28" s="27" t="s">
        <v>60</v>
      </c>
      <c r="B28" s="35">
        <f t="shared" si="3"/>
        <v>0.22095332671300894</v>
      </c>
      <c r="C28" s="144">
        <f>E28-'[1]EU - country'!E28</f>
        <v>-1852</v>
      </c>
      <c r="D28" s="13">
        <f>F28-'[1]EU - country'!F28</f>
        <v>-2105</v>
      </c>
      <c r="E28" s="125">
        <f>Switzerland!E$28</f>
        <v>2459</v>
      </c>
      <c r="F28" s="13">
        <f>Switzerland!F$28</f>
        <v>2014</v>
      </c>
      <c r="G28" s="13">
        <f>Switzerland!G$28</f>
        <v>0</v>
      </c>
      <c r="H28" s="13">
        <f>Switzerland!H$28</f>
        <v>427</v>
      </c>
      <c r="I28" s="13">
        <f>Switzerland!I$28</f>
        <v>356</v>
      </c>
      <c r="J28" s="13">
        <f>Switzerland!J$28</f>
        <v>1621</v>
      </c>
      <c r="K28" s="13">
        <f>Switzerland!K$28</f>
        <v>750</v>
      </c>
      <c r="L28" s="13">
        <f>Switzerland!L$28</f>
        <v>28</v>
      </c>
      <c r="M28" s="13">
        <f>Switzerland!M$28</f>
        <v>2933</v>
      </c>
      <c r="N28" s="13">
        <f>Switzerland!N$28</f>
        <v>79</v>
      </c>
      <c r="O28" s="13">
        <v>1633</v>
      </c>
      <c r="P28" s="13">
        <v>0</v>
      </c>
      <c r="Q28" s="13">
        <v>1756</v>
      </c>
      <c r="R28" s="47">
        <v>33</v>
      </c>
      <c r="T28" s="3"/>
    </row>
    <row r="29" spans="1:20" x14ac:dyDescent="0.2">
      <c r="A29" s="27" t="s">
        <v>1</v>
      </c>
      <c r="B29" s="35">
        <f t="shared" si="3"/>
        <v>-0.15169056091872857</v>
      </c>
      <c r="C29" s="144">
        <f>E29-'[1]EU - country'!E29</f>
        <v>-29958</v>
      </c>
      <c r="D29" s="13">
        <f>F29-'[1]EU - country'!F29</f>
        <v>-35787</v>
      </c>
      <c r="E29" s="125">
        <f>Netherlands!E$15</f>
        <v>91301</v>
      </c>
      <c r="F29" s="13">
        <f>Netherlands!F$15</f>
        <v>107627</v>
      </c>
      <c r="G29" s="13">
        <f>Netherlands!G$15</f>
        <v>92431</v>
      </c>
      <c r="H29" s="13">
        <f>Netherlands!H$15</f>
        <v>99869</v>
      </c>
      <c r="I29" s="13">
        <f>Netherlands!I$15</f>
        <v>101369</v>
      </c>
      <c r="J29" s="13">
        <f>Netherlands!J$15</f>
        <v>92263</v>
      </c>
      <c r="K29" s="13">
        <f>Netherlands!K$15</f>
        <v>84200</v>
      </c>
      <c r="L29" s="13">
        <f>Netherlands!L$15</f>
        <v>42000</v>
      </c>
      <c r="M29" s="13">
        <f>Netherlands!M$15</f>
        <v>75000</v>
      </c>
      <c r="N29" s="13">
        <f>Netherlands!N$15</f>
        <v>59000</v>
      </c>
      <c r="O29" s="13">
        <v>64000</v>
      </c>
      <c r="P29" s="13">
        <v>22000</v>
      </c>
      <c r="Q29" s="13">
        <v>41000</v>
      </c>
      <c r="R29" s="47">
        <v>47000</v>
      </c>
    </row>
    <row r="30" spans="1:20" ht="13.5" thickBot="1" x14ac:dyDescent="0.25">
      <c r="A30" s="38" t="s">
        <v>166</v>
      </c>
      <c r="B30" s="36">
        <f t="shared" si="3"/>
        <v>-0.93342210386151803</v>
      </c>
      <c r="C30" s="143">
        <f>E30-'[1]EU - country'!E30</f>
        <v>-1525</v>
      </c>
      <c r="D30" s="15">
        <f>F30-'[1]EU - country'!F30</f>
        <v>-2061</v>
      </c>
      <c r="E30" s="129">
        <f>UK!E$19</f>
        <v>50</v>
      </c>
      <c r="F30" s="15">
        <f>UK!F$19</f>
        <v>751</v>
      </c>
      <c r="G30" s="15">
        <f>UK!G$19</f>
        <v>898</v>
      </c>
      <c r="H30" s="15">
        <f>UK!H$19</f>
        <v>2150</v>
      </c>
      <c r="I30" s="15">
        <f>UK!I$19</f>
        <v>1850</v>
      </c>
      <c r="J30" s="15">
        <f>UK!J$19</f>
        <v>1500</v>
      </c>
      <c r="K30" s="15">
        <f>UK!K$19</f>
        <v>2800</v>
      </c>
      <c r="L30" s="15">
        <f>UK!L$19</f>
        <v>2500</v>
      </c>
      <c r="M30" s="15">
        <f>UK!M$19</f>
        <v>2500</v>
      </c>
      <c r="N30" s="15">
        <f>UK!N$19</f>
        <v>2500</v>
      </c>
      <c r="O30" s="15">
        <v>2900</v>
      </c>
      <c r="P30" s="15">
        <v>1000</v>
      </c>
      <c r="Q30" s="15">
        <v>800</v>
      </c>
      <c r="R30" s="48">
        <v>1000</v>
      </c>
      <c r="T30" s="3"/>
    </row>
    <row r="31" spans="1:20" ht="13.5" thickBot="1" x14ac:dyDescent="0.25">
      <c r="A31" s="40" t="s">
        <v>23</v>
      </c>
      <c r="B31" s="41">
        <f t="shared" si="3"/>
        <v>-0.36191687150376994</v>
      </c>
      <c r="C31" s="171">
        <f>E31-'[1]EU - country'!E31</f>
        <v>-132528.16809310758</v>
      </c>
      <c r="D31" s="42">
        <f>F31-'[1]EU - country'!F31</f>
        <v>-189656.38196585595</v>
      </c>
      <c r="E31" s="118">
        <f>SUM(E19:E30)</f>
        <v>182590.83190689242</v>
      </c>
      <c r="F31" s="42">
        <f>SUM(F19:F30)</f>
        <v>286155.24177422473</v>
      </c>
      <c r="G31" s="42">
        <f t="shared" ref="G31:L31" si="4">SUM(G19:G30)</f>
        <v>225353.56838242657</v>
      </c>
      <c r="H31" s="42">
        <f t="shared" si="4"/>
        <v>219156.87219241494</v>
      </c>
      <c r="I31" s="42">
        <f t="shared" si="4"/>
        <v>283231.79111721739</v>
      </c>
      <c r="J31" s="42">
        <f t="shared" si="4"/>
        <v>238256.48769134478</v>
      </c>
      <c r="K31" s="42">
        <f t="shared" si="4"/>
        <v>241535.0076408539</v>
      </c>
      <c r="L31" s="42">
        <f t="shared" si="4"/>
        <v>113756.13718657062</v>
      </c>
      <c r="M31" s="42">
        <f t="shared" ref="M31:R31" si="5">SUM(M19:M30)</f>
        <v>265032.17819705053</v>
      </c>
      <c r="N31" s="42">
        <f t="shared" si="5"/>
        <v>198962</v>
      </c>
      <c r="O31" s="42">
        <f t="shared" si="5"/>
        <v>208441.84895934438</v>
      </c>
      <c r="P31" s="42">
        <f t="shared" si="5"/>
        <v>103961.77148907635</v>
      </c>
      <c r="Q31" s="42">
        <f t="shared" si="5"/>
        <v>176943</v>
      </c>
      <c r="R31" s="49">
        <f t="shared" si="5"/>
        <v>204453</v>
      </c>
    </row>
    <row r="32" spans="1:20" x14ac:dyDescent="0.2">
      <c r="A32" s="3"/>
      <c r="B32"/>
      <c r="C32"/>
      <c r="D32" s="9"/>
      <c r="E32" s="9"/>
      <c r="F32" s="9"/>
      <c r="G32" s="9"/>
      <c r="H32"/>
      <c r="I32"/>
      <c r="J32"/>
      <c r="K32"/>
      <c r="L32"/>
      <c r="M32"/>
      <c r="N32"/>
      <c r="O32"/>
      <c r="P32"/>
    </row>
    <row r="33" spans="1:20" x14ac:dyDescent="0.2">
      <c r="A33" s="63" t="s">
        <v>164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</row>
    <row r="34" spans="1:20" x14ac:dyDescent="0.2">
      <c r="A34" s="63" t="s">
        <v>179</v>
      </c>
      <c r="Q34" s="1"/>
      <c r="R34" s="1"/>
    </row>
    <row r="35" spans="1:20" x14ac:dyDescent="0.2">
      <c r="A35" s="9"/>
      <c r="B35" s="12"/>
      <c r="C35" s="12"/>
      <c r="H35" s="12"/>
      <c r="Q35" s="1"/>
      <c r="R35" s="1"/>
    </row>
    <row r="36" spans="1:20" x14ac:dyDescent="0.2">
      <c r="A36" s="88"/>
      <c r="B36" s="12"/>
      <c r="C36" s="12"/>
      <c r="H36" s="12"/>
      <c r="Q36" s="12"/>
      <c r="R36" s="12"/>
      <c r="S36" s="12"/>
    </row>
    <row r="37" spans="1:20" ht="25.5" customHeight="1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9"/>
      <c r="R37" s="19"/>
      <c r="S37" s="12"/>
    </row>
    <row r="38" spans="1:20" x14ac:dyDescent="0.2">
      <c r="A38" s="12"/>
      <c r="B38" s="12"/>
      <c r="C38" s="12"/>
      <c r="H38" s="12"/>
      <c r="Q38" s="13"/>
      <c r="R38" s="13"/>
      <c r="S38" s="12"/>
    </row>
    <row r="39" spans="1:20" ht="25.5" customHeight="1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3"/>
      <c r="R39" s="23"/>
      <c r="S39" s="11"/>
      <c r="T39" s="9"/>
    </row>
    <row r="40" spans="1:20" x14ac:dyDescent="0.2">
      <c r="A40" s="12"/>
      <c r="B40" s="12"/>
      <c r="C40" s="12"/>
      <c r="H40" s="12"/>
      <c r="Q40" s="20"/>
      <c r="R40" s="20"/>
      <c r="S40" s="13"/>
      <c r="T40" s="9"/>
    </row>
    <row r="41" spans="1:20" x14ac:dyDescent="0.2">
      <c r="A41" s="12"/>
      <c r="B41" s="12"/>
      <c r="C41" s="12"/>
      <c r="H41" s="12"/>
      <c r="Q41" s="20"/>
      <c r="R41" s="20"/>
      <c r="S41" s="13"/>
      <c r="T41" s="9"/>
    </row>
    <row r="42" spans="1:20" x14ac:dyDescent="0.2">
      <c r="A42" s="12"/>
      <c r="B42" s="12"/>
      <c r="C42" s="12"/>
      <c r="H42" s="12"/>
      <c r="Q42" s="20"/>
      <c r="R42" s="20"/>
      <c r="S42" s="13"/>
      <c r="T42" s="9"/>
    </row>
    <row r="43" spans="1:20" x14ac:dyDescent="0.2">
      <c r="A43" s="12"/>
      <c r="B43" s="12"/>
      <c r="C43" s="12"/>
      <c r="H43" s="12"/>
      <c r="Q43" s="20"/>
      <c r="R43" s="20"/>
      <c r="S43" s="13"/>
      <c r="T43" s="9"/>
    </row>
    <row r="44" spans="1:20" x14ac:dyDescent="0.2">
      <c r="A44" s="12"/>
      <c r="B44" s="12"/>
      <c r="C44" s="12"/>
      <c r="H44" s="12"/>
      <c r="Q44" s="20"/>
      <c r="R44" s="20"/>
      <c r="S44" s="13"/>
      <c r="T44" s="9"/>
    </row>
    <row r="45" spans="1:20" x14ac:dyDescent="0.2">
      <c r="A45" s="12"/>
      <c r="B45" s="12"/>
      <c r="C45" s="12"/>
      <c r="H45" s="12"/>
      <c r="Q45" s="20"/>
      <c r="R45" s="20"/>
      <c r="S45" s="13"/>
      <c r="T45" s="9"/>
    </row>
    <row r="46" spans="1:20" x14ac:dyDescent="0.2">
      <c r="A46" s="12"/>
      <c r="B46" s="12"/>
      <c r="C46" s="12"/>
      <c r="H46" s="12"/>
      <c r="Q46" s="20"/>
      <c r="R46" s="20"/>
      <c r="S46" s="13"/>
      <c r="T46" s="9"/>
    </row>
    <row r="47" spans="1:20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0"/>
      <c r="R47" s="20"/>
      <c r="S47" s="13"/>
      <c r="T47" s="9"/>
    </row>
    <row r="48" spans="1:20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0"/>
      <c r="R48" s="20"/>
      <c r="S48" s="13"/>
      <c r="T48" s="9"/>
    </row>
    <row r="49" spans="1:20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0"/>
      <c r="R49" s="20"/>
      <c r="S49" s="13"/>
      <c r="T49" s="9"/>
    </row>
    <row r="50" spans="1:20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0"/>
      <c r="R50" s="20"/>
      <c r="S50" s="13"/>
      <c r="T50" s="9"/>
    </row>
    <row r="51" spans="1:20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0"/>
      <c r="R51" s="20"/>
      <c r="S51" s="13"/>
      <c r="T51" s="9"/>
    </row>
    <row r="52" spans="1:20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0"/>
      <c r="R52" s="20"/>
      <c r="S52" s="13"/>
      <c r="T52" s="9"/>
    </row>
    <row r="53" spans="1:20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0"/>
      <c r="R53" s="20"/>
      <c r="S53" s="13"/>
      <c r="T53" s="9"/>
    </row>
    <row r="54" spans="1:20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0"/>
      <c r="R54" s="20"/>
      <c r="S54" s="13"/>
      <c r="T54" s="9"/>
    </row>
    <row r="55" spans="1:20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0"/>
      <c r="R55" s="20"/>
      <c r="S55" s="14"/>
      <c r="T55" s="9"/>
    </row>
    <row r="56" spans="1:20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0"/>
      <c r="R56" s="20"/>
      <c r="S56" s="12"/>
    </row>
    <row r="57" spans="1:20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0"/>
      <c r="R57" s="20"/>
      <c r="S57" s="13"/>
      <c r="T57" s="9"/>
    </row>
    <row r="58" spans="1:20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0"/>
      <c r="R58" s="20"/>
      <c r="S58" s="13"/>
      <c r="T58" s="9"/>
    </row>
    <row r="59" spans="1:20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0"/>
      <c r="R59" s="20"/>
      <c r="S59" s="13"/>
      <c r="T59" s="9"/>
    </row>
    <row r="60" spans="1:20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0"/>
      <c r="R60" s="20"/>
      <c r="S60" s="13"/>
      <c r="T60" s="9"/>
    </row>
    <row r="61" spans="1:20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0"/>
      <c r="R61" s="20"/>
      <c r="S61" s="13"/>
      <c r="T61" s="9"/>
    </row>
    <row r="62" spans="1:20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0"/>
      <c r="R62" s="20"/>
      <c r="S62" s="14"/>
      <c r="T62" s="9"/>
    </row>
    <row r="63" spans="1:20" ht="26.25" customHeight="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21"/>
      <c r="R63" s="21"/>
      <c r="S63" s="12"/>
    </row>
    <row r="64" spans="1:20" x14ac:dyDescent="0.2">
      <c r="A64" s="12"/>
      <c r="B64" s="12"/>
      <c r="C64" s="12"/>
      <c r="H64" s="12"/>
      <c r="Q64" s="13"/>
      <c r="R64" s="13"/>
      <c r="S64" s="12"/>
    </row>
    <row r="65" spans="1:19" x14ac:dyDescent="0.2">
      <c r="A65" s="12"/>
      <c r="B65" s="12"/>
      <c r="C65" s="12"/>
      <c r="H65" s="12"/>
      <c r="Q65" s="13"/>
      <c r="R65" s="13"/>
      <c r="S65" s="12"/>
    </row>
    <row r="66" spans="1:19" x14ac:dyDescent="0.2">
      <c r="A66" s="12"/>
      <c r="B66" s="12"/>
      <c r="C66" s="12"/>
      <c r="H66" s="12"/>
      <c r="Q66" s="13"/>
      <c r="R66" s="13"/>
      <c r="S66" s="12"/>
    </row>
    <row r="67" spans="1:19" x14ac:dyDescent="0.2">
      <c r="A67" s="12"/>
      <c r="B67" s="12"/>
      <c r="C67" s="12"/>
      <c r="H67" s="12"/>
      <c r="Q67" s="17"/>
      <c r="R67" s="17"/>
      <c r="S67" s="12"/>
    </row>
    <row r="68" spans="1:19" x14ac:dyDescent="0.2">
      <c r="A68" s="12"/>
      <c r="B68" s="12"/>
      <c r="C68" s="12"/>
      <c r="H68" s="12"/>
      <c r="Q68" s="17"/>
      <c r="R68" s="17"/>
      <c r="S68" s="12"/>
    </row>
    <row r="69" spans="1:19" x14ac:dyDescent="0.2">
      <c r="A69" s="12"/>
      <c r="B69" s="12"/>
      <c r="C69" s="12"/>
      <c r="H69" s="12"/>
      <c r="Q69" s="13"/>
      <c r="R69" s="17"/>
      <c r="S69" s="12"/>
    </row>
    <row r="70" spans="1:19" x14ac:dyDescent="0.2">
      <c r="A70" s="12"/>
      <c r="B70" s="12"/>
      <c r="C70" s="12"/>
      <c r="H70" s="12"/>
      <c r="Q70" s="13"/>
      <c r="R70" s="13"/>
      <c r="S70" s="12"/>
    </row>
    <row r="71" spans="1:19" x14ac:dyDescent="0.2">
      <c r="A71" s="12"/>
      <c r="B71" s="12"/>
      <c r="C71" s="12"/>
      <c r="H71" s="12"/>
      <c r="Q71" s="13"/>
      <c r="R71" s="13"/>
      <c r="S71" s="12"/>
    </row>
    <row r="72" spans="1:19" x14ac:dyDescent="0.2">
      <c r="A72" s="12"/>
      <c r="B72" s="12"/>
      <c r="C72" s="12"/>
      <c r="H72" s="12"/>
      <c r="Q72" s="13"/>
      <c r="R72" s="13"/>
      <c r="S72" s="12"/>
    </row>
    <row r="73" spans="1:19" x14ac:dyDescent="0.2">
      <c r="A73" s="12"/>
      <c r="B73" s="12"/>
      <c r="C73" s="12"/>
      <c r="H73" s="12"/>
      <c r="Q73" s="13"/>
      <c r="R73" s="13"/>
      <c r="S73" s="12"/>
    </row>
    <row r="74" spans="1:19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4"/>
      <c r="R74" s="14"/>
      <c r="S74" s="12"/>
    </row>
    <row r="75" spans="1:19" x14ac:dyDescent="0.2">
      <c r="A75" s="12"/>
      <c r="B75" s="12"/>
      <c r="C75" s="12"/>
      <c r="H75" s="12"/>
      <c r="Q75" s="12"/>
      <c r="R75" s="12"/>
      <c r="S75" s="12"/>
    </row>
    <row r="76" spans="1:19" x14ac:dyDescent="0.2">
      <c r="A76" s="12"/>
      <c r="B76" s="12"/>
      <c r="C76" s="12"/>
      <c r="H76" s="12"/>
      <c r="Q76" s="12"/>
      <c r="R76" s="12"/>
      <c r="S76" s="12"/>
    </row>
    <row r="77" spans="1:19" x14ac:dyDescent="0.2">
      <c r="A77" s="12"/>
      <c r="B77" s="12"/>
      <c r="C77" s="12"/>
      <c r="H77" s="12"/>
      <c r="Q77" s="12"/>
      <c r="R77" s="12"/>
      <c r="S77" s="12"/>
    </row>
    <row r="78" spans="1:19" x14ac:dyDescent="0.2">
      <c r="A78" s="12"/>
      <c r="B78" s="12"/>
      <c r="C78" s="12"/>
      <c r="H78" s="12"/>
      <c r="Q78" s="12"/>
      <c r="R78" s="12"/>
      <c r="S78" s="12"/>
    </row>
    <row r="79" spans="1:19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2"/>
      <c r="R79" s="12"/>
      <c r="S79" s="12"/>
    </row>
    <row r="80" spans="1:19" x14ac:dyDescent="0.2">
      <c r="A80" s="12"/>
      <c r="B80" s="12"/>
      <c r="C80" s="12"/>
      <c r="H80" s="12"/>
      <c r="Q80" s="12"/>
      <c r="R80" s="12"/>
      <c r="S80" s="12"/>
    </row>
    <row r="81" spans="1:19" x14ac:dyDescent="0.2">
      <c r="A81" s="12"/>
      <c r="B81" s="12"/>
      <c r="C81" s="12"/>
      <c r="H81" s="12"/>
      <c r="Q81" s="12"/>
      <c r="R81" s="12"/>
      <c r="S81" s="12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CX47"/>
  <sheetViews>
    <sheetView zoomScale="65" zoomScaleNormal="65" workbookViewId="0">
      <selection activeCell="D25" sqref="D25"/>
    </sheetView>
  </sheetViews>
  <sheetFormatPr defaultRowHeight="12.75" x14ac:dyDescent="0.2"/>
  <cols>
    <col min="1" max="1" width="24.7109375" customWidth="1"/>
    <col min="2" max="2" width="10.7109375" customWidth="1"/>
    <col min="3" max="3" width="11.5703125" bestFit="1" customWidth="1"/>
    <col min="4" max="4" width="11.5703125" style="9" bestFit="1" customWidth="1"/>
    <col min="5" max="6" width="11.5703125" style="9" customWidth="1"/>
    <col min="7" max="7" width="11.42578125" style="9" customWidth="1"/>
    <col min="8" max="8" width="10.7109375" customWidth="1"/>
    <col min="9" max="16" width="10.7109375" style="9" customWidth="1"/>
  </cols>
  <sheetData>
    <row r="1" spans="1:17" ht="13.5" thickBot="1" x14ac:dyDescent="0.25">
      <c r="A1" s="52" t="s">
        <v>91</v>
      </c>
      <c r="B1" s="32" t="s">
        <v>174</v>
      </c>
      <c r="C1" s="62" t="s">
        <v>173</v>
      </c>
      <c r="D1" s="96" t="s">
        <v>168</v>
      </c>
      <c r="E1" s="128">
        <v>43922</v>
      </c>
      <c r="F1" s="136">
        <v>43556</v>
      </c>
      <c r="G1" s="136">
        <v>43191</v>
      </c>
      <c r="H1" s="33">
        <v>42826</v>
      </c>
      <c r="I1" s="33">
        <v>42461</v>
      </c>
      <c r="J1" s="33">
        <v>42095</v>
      </c>
      <c r="K1" s="33">
        <v>41730</v>
      </c>
      <c r="L1" s="33">
        <v>41365</v>
      </c>
      <c r="M1" s="33">
        <v>41000</v>
      </c>
      <c r="N1" s="33">
        <v>40634</v>
      </c>
      <c r="O1" s="33">
        <v>40269</v>
      </c>
      <c r="P1" s="50">
        <v>39904</v>
      </c>
    </row>
    <row r="2" spans="1:17" x14ac:dyDescent="0.2">
      <c r="A2" s="53" t="s">
        <v>20</v>
      </c>
      <c r="B2" s="60"/>
      <c r="C2" s="145">
        <f>E2-'[1]EU - variety'!E2</f>
        <v>0</v>
      </c>
      <c r="D2" s="84">
        <f>F2-'[1]EU - variety'!F2</f>
        <v>0</v>
      </c>
      <c r="E2" s="56">
        <f>Italy!E$2</f>
        <v>0</v>
      </c>
      <c r="F2" s="84">
        <f>Italy!F$2</f>
        <v>0</v>
      </c>
      <c r="G2" s="84">
        <f>Italy!G$2</f>
        <v>0</v>
      </c>
      <c r="H2" s="84">
        <f>Italy!H$2</f>
        <v>0</v>
      </c>
      <c r="I2" s="84">
        <f>Italy!I$2</f>
        <v>0</v>
      </c>
      <c r="J2" s="84">
        <f>Italy!J$2</f>
        <v>0</v>
      </c>
      <c r="K2" s="84">
        <f>Italy!K$2</f>
        <v>0</v>
      </c>
      <c r="L2" s="84">
        <f>Italy!L$2</f>
        <v>0</v>
      </c>
      <c r="M2" s="84">
        <f>Italy!M$2</f>
        <v>761.6917738204121</v>
      </c>
      <c r="N2" s="84">
        <f>Italy!N$2</f>
        <v>0</v>
      </c>
      <c r="O2" s="84">
        <f>Italy!O$2</f>
        <v>0</v>
      </c>
      <c r="P2" s="86">
        <f>Italy!P$2</f>
        <v>0</v>
      </c>
      <c r="Q2" s="83"/>
    </row>
    <row r="3" spans="1:17" x14ac:dyDescent="0.2">
      <c r="A3" s="53" t="s">
        <v>4</v>
      </c>
      <c r="B3" s="60">
        <f>(E3-F3)/F3</f>
        <v>-0.72411016266709616</v>
      </c>
      <c r="C3" s="145">
        <f>E3-'[1]EU - variety'!E3</f>
        <v>-2816</v>
      </c>
      <c r="D3" s="84">
        <f>F3-'[1]EU - variety'!F3</f>
        <v>-4037.1000000000004</v>
      </c>
      <c r="E3" s="56">
        <f>Austria!E$3+Belgium!E$2+Denmark!E$2+France!E$4+Germany!E$2+Switzerland!E$2+Netherlands!E$2+Poland!E$2</f>
        <v>1713</v>
      </c>
      <c r="F3" s="84">
        <f>Austria!F$3+Belgium!F$2+Denmark!F$2+France!F$4+Germany!F$2+Switzerland!F$2+Netherlands!F$2+Poland!F$2</f>
        <v>6209</v>
      </c>
      <c r="G3" s="84">
        <f>Austria!G$3+Belgium!G$2+Denmark!G$2+France!G$4+Germany!G$2+Switzerland!G$2+Netherlands!G$2+Poland!G$2</f>
        <v>169</v>
      </c>
      <c r="H3" s="84">
        <f>Austria!H$3+Belgium!H$2+Denmark!H$2+France!H$4+Germany!H$2+Switzerland!H$2+Netherlands!H$2+Poland!H$2</f>
        <v>5188</v>
      </c>
      <c r="I3" s="84">
        <f>Austria!I$3+Belgium!I$2+Denmark!I$2+France!I$4+Germany!I$2+Switzerland!I$2+Netherlands!I$2+Poland!I$2</f>
        <v>4075</v>
      </c>
      <c r="J3" s="84">
        <f>Austria!J$3+Belgium!J$2+Denmark!J$2+France!J$4+Germany!J$2+Switzerland!J$2+Netherlands!J$2+Poland!J$2</f>
        <v>6819</v>
      </c>
      <c r="K3" s="84">
        <f>Austria!K$3+Belgium!K$2+Denmark!K$2+France!K$4+Germany!K$2+Switzerland!K$2+Netherlands!K$2+Poland!K$2</f>
        <v>2055</v>
      </c>
      <c r="L3" s="84">
        <f>Austria!L$3+Belgium!L$2+Denmark!L$2+France!L$4+Germany!L$2+Switzerland!L$2+Netherlands!L$2+Poland!L$2</f>
        <v>19</v>
      </c>
      <c r="M3" s="84">
        <f>Austria!M$3+Belgium!M$2+Denmark!M$2+France!M$4+Germany!M$2+Switzerland!M$2+Netherlands!M$2+Poland!M$2</f>
        <v>2886</v>
      </c>
      <c r="N3" s="84">
        <f>Austria!N$3+Belgium!N$2+Denmark!N$2+France!N$4+Germany!N$2+Switzerland!N$2+Netherlands!N$2+Poland!N$2</f>
        <v>1804</v>
      </c>
      <c r="O3" s="84">
        <f>Austria!O$3+Belgium!O$2+Denmark!O$2+France!O$4+Germany!O$2+Switzerland!O$2+Netherlands!O$2+Poland!O$2</f>
        <v>2619</v>
      </c>
      <c r="P3" s="86">
        <f>Austria!P$3+Belgium!P$2+Denmark!P$2+France!P$4+Germany!P$2+Switzerland!P$2+Netherlands!P$2+Poland!P$2</f>
        <v>7428</v>
      </c>
      <c r="Q3" s="3"/>
    </row>
    <row r="4" spans="1:17" x14ac:dyDescent="0.2">
      <c r="A4" s="53" t="s">
        <v>11</v>
      </c>
      <c r="B4" s="60">
        <f t="shared" ref="B4:B32" si="0">(E4-F4)/F4</f>
        <v>-0.24959715209729055</v>
      </c>
      <c r="C4" s="145">
        <f>E4-'[1]EU - variety'!E4</f>
        <v>-31355.9</v>
      </c>
      <c r="D4" s="84">
        <f>F4-'[1]EU - variety'!F4</f>
        <v>-27975.430000000008</v>
      </c>
      <c r="E4" s="56">
        <f>Austria!E$4+France!E$5+Germany!E$3+Italy!E$3+Switzerland!E$3+UK!E$2+'Czech Republic'!E$2</f>
        <v>62597.54</v>
      </c>
      <c r="F4" s="84">
        <f>Austria!F$4+France!F$5+Germany!F$3+Italy!F$3+Switzerland!F$3+UK!F$2+'Czech Republic'!F$2</f>
        <v>83418.58</v>
      </c>
      <c r="G4" s="84">
        <f>Austria!G$4+France!G$5+Germany!G$3+Italy!G$3+Switzerland!G$3+UK!G$2+'Czech Republic'!G$2</f>
        <v>30694</v>
      </c>
      <c r="H4" s="84">
        <f>Austria!H$4+France!H$5+Germany!H$3+Italy!H$3+Switzerland!H$3+UK!H$2+'Czech Republic'!H$2</f>
        <v>58655.119999999995</v>
      </c>
      <c r="I4" s="84">
        <f>Austria!I$4+France!I$5+Germany!I$3+Italy!I$3+Switzerland!I$3+UK!I$2+'Czech Republic'!I$2</f>
        <v>63188.14</v>
      </c>
      <c r="J4" s="84">
        <f>Austria!J$4+France!J$5+Germany!J$3+Italy!J$3+Switzerland!J$3+UK!J$2+'Czech Republic'!J$2</f>
        <v>53841.78</v>
      </c>
      <c r="K4" s="84">
        <f>Austria!K$4+France!K$5+Germany!K$3+Italy!K$3+Switzerland!K$3+UK!K$2+'Czech Republic'!K$2</f>
        <v>71638.02</v>
      </c>
      <c r="L4" s="84">
        <f>Austria!L$4+France!L$5+Germany!L$3+Italy!L$3+Switzerland!L$3+UK!L$2+'Czech Republic'!L$2</f>
        <v>38633</v>
      </c>
      <c r="M4" s="84">
        <f>Austria!M$4+France!M$5+Germany!M$3+Italy!M$3+Switzerland!M$3+UK!M$2+'Czech Republic'!M$2</f>
        <v>70758.079968526392</v>
      </c>
      <c r="N4" s="84">
        <f>Austria!N$4+France!N$5+Germany!N$3+Italy!N$3+Switzerland!N$3+UK!N$2+'Czech Republic'!N$2</f>
        <v>59131.915490338557</v>
      </c>
      <c r="O4" s="84">
        <f>Austria!O$4+France!O$5+Germany!O$3+Italy!O$3+Switzerland!O$3+UK!O$2+'Czech Republic'!O$2</f>
        <v>76119.03</v>
      </c>
      <c r="P4" s="86">
        <f>Austria!P$4+France!P$5+Germany!P$3+Italy!P$3+Switzerland!P$3+UK!P$2+'Czech Republic'!P$2</f>
        <v>38049.770000000004</v>
      </c>
    </row>
    <row r="5" spans="1:17" x14ac:dyDescent="0.2">
      <c r="A5" s="53" t="s">
        <v>36</v>
      </c>
      <c r="B5" s="60">
        <f t="shared" si="0"/>
        <v>-0.41010101010101008</v>
      </c>
      <c r="C5" s="145">
        <f>E5-'[1]EU - variety'!E5</f>
        <v>-7392</v>
      </c>
      <c r="D5" s="84">
        <f>F5-'[1]EU - variety'!F5</f>
        <v>-6200</v>
      </c>
      <c r="E5" s="56">
        <f>UK!E$3</f>
        <v>11680</v>
      </c>
      <c r="F5" s="84">
        <f>UK!F$3</f>
        <v>19800</v>
      </c>
      <c r="G5" s="84">
        <f>UK!G$3</f>
        <v>18000</v>
      </c>
      <c r="H5" s="84">
        <f>UK!H$3</f>
        <v>19850</v>
      </c>
      <c r="I5" s="84">
        <f>UK!I$3</f>
        <v>16000</v>
      </c>
      <c r="J5" s="84">
        <f>UK!J$3</f>
        <v>29000</v>
      </c>
      <c r="K5" s="84">
        <f>UK!K$3</f>
        <v>26000</v>
      </c>
      <c r="L5" s="84">
        <f>UK!L$3</f>
        <v>10000</v>
      </c>
      <c r="M5" s="84">
        <f>UK!M$3</f>
        <v>25000</v>
      </c>
      <c r="N5" s="84">
        <f>UK!N$3</f>
        <v>26000</v>
      </c>
      <c r="O5" s="84">
        <f>UK!O$3</f>
        <v>26000</v>
      </c>
      <c r="P5" s="86">
        <f>UK!P$3</f>
        <v>28000</v>
      </c>
    </row>
    <row r="6" spans="1:17" x14ac:dyDescent="0.2">
      <c r="A6" s="53" t="s">
        <v>29</v>
      </c>
      <c r="B6" s="60">
        <f t="shared" si="0"/>
        <v>-0.54642313546423138</v>
      </c>
      <c r="C6" s="145">
        <f>E6-'[1]EU - variety'!E6</f>
        <v>-878</v>
      </c>
      <c r="D6" s="84">
        <f>F6-'[1]EU - variety'!F6</f>
        <v>-479</v>
      </c>
      <c r="E6" s="56">
        <f>France!E6+UK!E4</f>
        <v>596</v>
      </c>
      <c r="F6" s="84">
        <f>France!F6+UK!F4</f>
        <v>1314</v>
      </c>
      <c r="G6" s="84">
        <f>France!G6+UK!G4</f>
        <v>256</v>
      </c>
      <c r="H6" s="84">
        <f>France!H6+UK!H4</f>
        <v>0</v>
      </c>
      <c r="I6" s="84">
        <f>France!I6+UK!I4</f>
        <v>1100</v>
      </c>
      <c r="J6" s="84">
        <f>France!J6+UK!J4</f>
        <v>300</v>
      </c>
      <c r="K6" s="84">
        <f>France!K6+UK!K4</f>
        <v>300</v>
      </c>
      <c r="L6" s="84">
        <f>France!L6+UK!L4</f>
        <v>0</v>
      </c>
      <c r="M6" s="84">
        <f>France!M6+UK!M4</f>
        <v>851</v>
      </c>
      <c r="N6" s="84">
        <f>France!N6+UK!N4</f>
        <v>880</v>
      </c>
      <c r="O6" s="84">
        <f>France!O6+UK!O4</f>
        <v>1390</v>
      </c>
      <c r="P6" s="86">
        <f>France!P6+UK!P4</f>
        <v>0</v>
      </c>
    </row>
    <row r="7" spans="1:17" x14ac:dyDescent="0.2">
      <c r="A7" s="53" t="s">
        <v>33</v>
      </c>
      <c r="B7" s="60"/>
      <c r="C7" s="145">
        <f>E7-'[1]EU - variety'!E7</f>
        <v>0</v>
      </c>
      <c r="D7" s="84">
        <f>F7-'[1]EU - variety'!F7</f>
        <v>0</v>
      </c>
      <c r="E7" s="56">
        <f>Poland!E$3</f>
        <v>0</v>
      </c>
      <c r="F7" s="84">
        <f>Poland!F$3</f>
        <v>0</v>
      </c>
      <c r="G7" s="84">
        <f>Poland!G$3</f>
        <v>0</v>
      </c>
      <c r="H7" s="84">
        <f>Poland!H$3</f>
        <v>0</v>
      </c>
      <c r="I7" s="84">
        <f>Poland!I$3</f>
        <v>0</v>
      </c>
      <c r="J7" s="84">
        <f>Poland!J$3</f>
        <v>0</v>
      </c>
      <c r="K7" s="84">
        <f>Poland!K$3</f>
        <v>0</v>
      </c>
      <c r="L7" s="84">
        <f>Poland!L$3</f>
        <v>0</v>
      </c>
      <c r="M7" s="84">
        <f>Poland!M$3</f>
        <v>0</v>
      </c>
      <c r="N7" s="84">
        <f>Poland!N$3</f>
        <v>0</v>
      </c>
      <c r="O7" s="84">
        <f>Poland!O$3</f>
        <v>8000</v>
      </c>
      <c r="P7" s="86">
        <f>Poland!P$3</f>
        <v>1000</v>
      </c>
    </row>
    <row r="8" spans="1:17" x14ac:dyDescent="0.2">
      <c r="A8" s="53" t="s">
        <v>5</v>
      </c>
      <c r="B8" s="60">
        <f t="shared" si="0"/>
        <v>-0.59493670886075944</v>
      </c>
      <c r="C8" s="145">
        <f>E8-'[1]EU - variety'!E8</f>
        <v>-1054</v>
      </c>
      <c r="D8" s="84">
        <f>F8-'[1]EU - variety'!F8</f>
        <v>-1511</v>
      </c>
      <c r="E8" s="56">
        <f>Belgium!E$3+Denmark!E$4+Germany!E$4+Switzerland!E$4+UK!E$5</f>
        <v>128</v>
      </c>
      <c r="F8" s="84">
        <f>Belgium!F$3+Denmark!F$4+Germany!F$4+Switzerland!F$4+UK!F$5</f>
        <v>316</v>
      </c>
      <c r="G8" s="84">
        <f>Belgium!G$3+Denmark!G$4+Germany!G$4+Switzerland!G$4+UK!G$5</f>
        <v>53</v>
      </c>
      <c r="H8" s="84">
        <f>Belgium!H$3+Denmark!H$4+Germany!H$4+Switzerland!H$4+UK!H$5</f>
        <v>251</v>
      </c>
      <c r="I8" s="84">
        <f>Belgium!I$3+Denmark!I$4+Germany!I$4+Switzerland!I$4+UK!I$5</f>
        <v>1869</v>
      </c>
      <c r="J8" s="84">
        <f>Belgium!J$3+Denmark!J$4+Germany!J$4+Switzerland!J$4+UK!J$5</f>
        <v>0</v>
      </c>
      <c r="K8" s="84">
        <f>Belgium!K$3+Denmark!K$4+Germany!K$4+Switzerland!K$4+UK!K$5</f>
        <v>1907</v>
      </c>
      <c r="L8" s="84">
        <f>Belgium!L$3+Denmark!L$4+Germany!L$4+Switzerland!L$4+UK!L$5</f>
        <v>105</v>
      </c>
      <c r="M8" s="84">
        <f>Belgium!M$3+Denmark!M$4+Germany!M$4+Switzerland!M$4+UK!M$5</f>
        <v>1417</v>
      </c>
      <c r="N8" s="84">
        <f>Belgium!N$3+Denmark!N$4+Germany!N$4+Switzerland!N$4+UK!N$5</f>
        <v>1040</v>
      </c>
      <c r="O8" s="84">
        <f>Belgium!O$3+Denmark!O$4+Germany!O$4+Switzerland!O$4+UK!O$5</f>
        <v>1202</v>
      </c>
      <c r="P8" s="86">
        <f>Belgium!P$3+Denmark!P$4+Germany!P$4+Switzerland!P$4+UK!P$5</f>
        <v>713</v>
      </c>
    </row>
    <row r="9" spans="1:17" x14ac:dyDescent="0.2">
      <c r="A9" s="53" t="s">
        <v>61</v>
      </c>
      <c r="B9" s="60">
        <f t="shared" si="0"/>
        <v>-0.10032485474657352</v>
      </c>
      <c r="C9" s="145">
        <f>E9-'[1]EU - variety'!E9</f>
        <v>-38037.699999999997</v>
      </c>
      <c r="D9" s="84">
        <f>F9-'[1]EU - variety'!F9</f>
        <v>-32663.630000000005</v>
      </c>
      <c r="E9" s="56">
        <f>France!E$8+Italy!E$4</f>
        <v>58934.3</v>
      </c>
      <c r="F9" s="84">
        <f>France!F$8+Italy!F$4</f>
        <v>65506.2</v>
      </c>
      <c r="G9" s="84">
        <f>France!G$8+Italy!G$4</f>
        <v>49464</v>
      </c>
      <c r="H9" s="84">
        <f>France!H$8+Italy!H$4</f>
        <v>63674.9</v>
      </c>
      <c r="I9" s="84">
        <f>France!I$8+Italy!I$4</f>
        <v>54257.3</v>
      </c>
      <c r="J9" s="84">
        <f>France!J$8+Italy!J$4</f>
        <v>69418</v>
      </c>
      <c r="K9" s="84">
        <f>France!K$8+Italy!K$4</f>
        <v>43602</v>
      </c>
      <c r="L9" s="84">
        <f>France!L$8+Italy!L$4</f>
        <v>20971</v>
      </c>
      <c r="M9" s="84">
        <f>France!M$8+Italy!M$4</f>
        <v>48092.956609458226</v>
      </c>
      <c r="N9" s="84">
        <f>France!N$8+Italy!N$4</f>
        <v>30705.109201359592</v>
      </c>
      <c r="O9" s="84">
        <f>France!O$8+Italy!O$4</f>
        <v>19641</v>
      </c>
      <c r="P9" s="86">
        <f>France!P$8+Italy!P$4</f>
        <v>0</v>
      </c>
    </row>
    <row r="10" spans="1:17" x14ac:dyDescent="0.2">
      <c r="A10" s="53" t="s">
        <v>2</v>
      </c>
      <c r="B10" s="60">
        <f t="shared" si="0"/>
        <v>0.34747643622639235</v>
      </c>
      <c r="C10" s="145">
        <f>E10-'[1]EU - variety'!E10</f>
        <v>-27915.68</v>
      </c>
      <c r="D10" s="84">
        <f>F10-'[1]EU - variety'!F10</f>
        <v>-28073.450000000004</v>
      </c>
      <c r="E10" s="56">
        <f>Austria!E$5+Belgium!E$4+Denmark!E$5+France!E$9+Germany!E$5+Italy!E$5+Switzerland!E$5+Netherlands!E$3+Poland!E$4</f>
        <v>53838.96</v>
      </c>
      <c r="F10" s="84">
        <f>Austria!F$5+Belgium!F$4+Denmark!F$5+France!F$9+Germany!F$5+Italy!F$5+Switzerland!F$5+Netherlands!F$3+Poland!F$4</f>
        <v>39955.4</v>
      </c>
      <c r="G10" s="84">
        <f>Austria!G$5+Belgium!G$4+Denmark!G$5+France!G$9+Germany!G$5+Italy!G$5+Switzerland!G$5+Netherlands!G$3+Poland!G$4</f>
        <v>21870</v>
      </c>
      <c r="H10" s="84">
        <f>Austria!H$5+Belgium!H$4+Denmark!H$5+France!H$9+Germany!H$5+Italy!H$5+Switzerland!H$5+Netherlands!H$3+Poland!H$4</f>
        <v>48073</v>
      </c>
      <c r="I10" s="84">
        <f>Austria!I$5+Belgium!I$4+Denmark!I$5+France!I$9+Germany!I$5+Italy!I$5+Switzerland!I$5+Netherlands!I$3+Poland!I$4</f>
        <v>50732.259999999995</v>
      </c>
      <c r="J10" s="84">
        <f>Austria!J$5+Belgium!J$4+Denmark!J$5+France!J$9+Germany!J$5+Italy!J$5+Switzerland!J$5+Netherlands!J$3+Poland!J$4</f>
        <v>64030.86</v>
      </c>
      <c r="K10" s="84">
        <f>Austria!K$5+Belgium!K$4+Denmark!K$5+France!K$9+Germany!K$5+Italy!K$5+Switzerland!K$5+Netherlands!K$3+Poland!K$4</f>
        <v>40722.300000000003</v>
      </c>
      <c r="L10" s="84">
        <f>Austria!L$5+Belgium!L$4+Denmark!L$5+France!L$9+Germany!L$5+Italy!L$5+Switzerland!L$5+Netherlands!L$3+Poland!L$4</f>
        <v>32826.639999999999</v>
      </c>
      <c r="M10" s="84">
        <f>Austria!M$5+Belgium!M$4+Denmark!M$5+France!M$9+Germany!M$5+Italy!M$5+Switzerland!M$5+Netherlands!M$3+Poland!M$4</f>
        <v>52175</v>
      </c>
      <c r="N10" s="84">
        <f>Austria!N$5+Belgium!N$4+Denmark!N$5+France!N$9+Germany!N$5+Italy!N$5+Switzerland!N$5+Netherlands!N$3+Poland!N$4</f>
        <v>35404</v>
      </c>
      <c r="O10" s="84">
        <f>Austria!O$5+Belgium!O$4+Denmark!O$5+France!O$9+Germany!O$5+Italy!O$5+Switzerland!O$5+Netherlands!O$3+Poland!O$4</f>
        <v>61846.8</v>
      </c>
      <c r="P10" s="86">
        <f>Austria!P$5+Belgium!P$4+Denmark!P$5+France!P$9+Germany!P$5+Italy!P$5+Switzerland!P$5+Netherlands!P$3+Poland!P$4</f>
        <v>44568</v>
      </c>
    </row>
    <row r="11" spans="1:17" x14ac:dyDescent="0.2">
      <c r="A11" s="53" t="s">
        <v>12</v>
      </c>
      <c r="B11" s="60">
        <f t="shared" si="0"/>
        <v>-0.18808567712874802</v>
      </c>
      <c r="C11" s="145">
        <f>E11-'[1]EU - variety'!E11</f>
        <v>-31389.102960504024</v>
      </c>
      <c r="D11" s="84">
        <f>F11-'[1]EU - variety'!F11</f>
        <v>-27338.280000000013</v>
      </c>
      <c r="E11" s="56">
        <f>Austria!E$7+Denmark!E$6+France!E$10+Germany!E$6+Italy!E$6+Spain!E$2</f>
        <v>71210.537039495975</v>
      </c>
      <c r="F11" s="84">
        <f>Austria!F$7+Denmark!F$6+France!F$10+Germany!F$6+Italy!F$6+Spain!F$2</f>
        <v>87706.959999999992</v>
      </c>
      <c r="G11" s="84">
        <f>Austria!G$7+Denmark!G$6+France!G$10+Germany!G$6+Italy!G$6+Spain!G$2</f>
        <v>54843</v>
      </c>
      <c r="H11" s="84">
        <f>Austria!H$7+Denmark!H$6+France!H$10+Germany!H$6+Italy!H$6+Spain!H$2</f>
        <v>63636.366822938995</v>
      </c>
      <c r="I11" s="84">
        <f>Austria!I$7+Denmark!I$6+France!I$10+Germany!I$6+Italy!I$6+Spain!I$2</f>
        <v>84342.725107248087</v>
      </c>
      <c r="J11" s="84">
        <f>Austria!J$7+Denmark!J$6+France!J$10+Germany!J$6+Italy!J$6+Spain!J$2</f>
        <v>67858.72942544207</v>
      </c>
      <c r="K11" s="84">
        <f>Austria!K$7+Denmark!K$6+France!K$10+Germany!K$6+Italy!K$6+Spain!K$2</f>
        <v>85601.768825431733</v>
      </c>
      <c r="L11" s="84">
        <f>Austria!L$7+Denmark!L$6+France!L$10+Germany!L$6+Italy!L$6+Spain!L$2</f>
        <v>37492.338071602389</v>
      </c>
      <c r="M11" s="84">
        <f>Austria!M$7+Denmark!M$6+France!M$10+Germany!M$6+Italy!M$6+Spain!M$2</f>
        <v>57853.962094113202</v>
      </c>
      <c r="N11" s="84">
        <f>Austria!N$7+Denmark!N$6+France!N$10+Germany!N$6+Italy!N$6+Spain!N$2</f>
        <v>67827.848137446999</v>
      </c>
      <c r="O11" s="84">
        <f>Austria!O$7+Denmark!O$6+France!O$10+Germany!O$6+Italy!O$6+Spain!O$2</f>
        <v>52301.836026374149</v>
      </c>
      <c r="P11" s="86">
        <f>Austria!P$7+Denmark!P$6+France!P$10+Germany!P$6+Italy!P$6+Spain!P$2</f>
        <v>41853.559638945881</v>
      </c>
    </row>
    <row r="12" spans="1:17" x14ac:dyDescent="0.2">
      <c r="A12" s="53" t="s">
        <v>9</v>
      </c>
      <c r="B12" s="60">
        <f t="shared" si="0"/>
        <v>-0.13289471207413747</v>
      </c>
      <c r="C12" s="145">
        <f>E12-'[1]EU - variety'!E12</f>
        <v>-88868.982829395303</v>
      </c>
      <c r="D12" s="84">
        <f>F12-'[1]EU - variety'!F12</f>
        <v>-98826.25</v>
      </c>
      <c r="E12" s="56">
        <f>Austria!E$8+'Czech Republic'!E$3+Denmark!E$7+France!E$11+Germany!E$7+Italy!E$7+Spain!E$3+Switzerland!E$6+UK!E$6+Poland!E$5</f>
        <v>99023.337170604704</v>
      </c>
      <c r="F12" s="84">
        <f>Austria!F$8+'Czech Republic'!F$3+Denmark!F$7+France!F$11+Germany!F$7+Italy!F$7+Spain!F$3+Switzerland!F$6+UK!F$6+Poland!F$5</f>
        <v>114199.9</v>
      </c>
      <c r="G12" s="84">
        <f>Austria!G$8+'Czech Republic'!G$3+Denmark!G$7+France!G$11+Germany!G$7+Italy!G$7+Spain!G$3+Switzerland!G$6+UK!G$6+Poland!G$5</f>
        <v>44758</v>
      </c>
      <c r="H12" s="84">
        <f>Austria!H$8+'Czech Republic'!H$3+Denmark!H$7+France!H$11+Germany!H$7+Italy!H$7+Spain!H$3+Switzerland!H$6+UK!H$6+Poland!H$5</f>
        <v>59010.394336731377</v>
      </c>
      <c r="I12" s="84">
        <f>Austria!I$8+'Czech Republic'!I$3+Denmark!I$7+France!I$11+Germany!I$7+Italy!I$7+Spain!I$3+Switzerland!I$6+UK!I$6+Poland!I$5</f>
        <v>65343.199630908413</v>
      </c>
      <c r="J12" s="84">
        <f>Austria!J$8+'Czech Republic'!J$3+Denmark!J$7+France!J$11+Germany!J$7+Italy!J$7+Spain!J$3+Switzerland!J$6+UK!J$6+Poland!J$5</f>
        <v>60274.50506925326</v>
      </c>
      <c r="K12" s="84">
        <f>Austria!K$8+'Czech Republic'!K$3+Denmark!K$7+France!K$11+Germany!K$7+Italy!K$7+Spain!K$3+Switzerland!K$6+UK!K$6+Poland!K$5</f>
        <v>73996.686772737026</v>
      </c>
      <c r="L12" s="84">
        <f>Austria!L$8+'Czech Republic'!L$3+Denmark!L$7+France!L$11+Germany!L$7+Italy!L$7+Spain!L$3+Switzerland!L$6+UK!L$6+Poland!L$5</f>
        <v>30781.66</v>
      </c>
      <c r="M12" s="84">
        <f>Austria!M$8+'Czech Republic'!M$3+Denmark!M$7+France!M$11+Germany!M$7+Italy!M$7+Spain!M$3+Switzerland!M$6+UK!M$6+Poland!M$5</f>
        <v>42293.810728606768</v>
      </c>
      <c r="N12" s="84">
        <f>Austria!N$8+'Czech Republic'!N$3+Denmark!N$7+France!N$11+Germany!N$7+Italy!N$7+Spain!N$3+Switzerland!N$6+UK!N$6+Poland!N$5</f>
        <v>60645.360867274372</v>
      </c>
      <c r="O12" s="84">
        <f>Austria!O$8+'Czech Republic'!O$3+Denmark!O$7+France!O$11+Germany!O$7+Italy!O$7+Spain!O$3+Switzerland!O$6+UK!O$6+Poland!O$5</f>
        <v>67945.954946544312</v>
      </c>
      <c r="P12" s="86">
        <f>Austria!P$8+'Czech Republic'!P$3+Denmark!P$7+France!P$11+Germany!P$7+Italy!P$7+Spain!P$3+Switzerland!P$6+UK!P$6+Poland!P$5</f>
        <v>37450.174335712261</v>
      </c>
    </row>
    <row r="13" spans="1:17" x14ac:dyDescent="0.2">
      <c r="A13" s="53" t="s">
        <v>14</v>
      </c>
      <c r="B13" s="60">
        <f t="shared" si="0"/>
        <v>-2.2686843580183736E-2</v>
      </c>
      <c r="C13" s="145">
        <f>E13-'[1]EU - variety'!E13</f>
        <v>-10033</v>
      </c>
      <c r="D13" s="84">
        <f>F13-'[1]EU - variety'!F13</f>
        <v>-25204</v>
      </c>
      <c r="E13" s="56">
        <f>Austria!E$9+Belgium!E$5+'Czech Republic'!E$4+Denmark!E$8+Germany!E$8+Italy!E$8+Poland!E$6</f>
        <v>40106</v>
      </c>
      <c r="F13" s="84">
        <f>Austria!F$9+Belgium!F$5+'Czech Republic'!F$4+Denmark!F$8+Germany!F$8+Italy!F$8+Poland!F$6</f>
        <v>41037</v>
      </c>
      <c r="G13" s="84">
        <f>Austria!G$9+Belgium!G$5+'Czech Republic'!G$4+Denmark!G$8+Germany!G$8+Italy!G$8+Poland!G$6</f>
        <v>40296</v>
      </c>
      <c r="H13" s="84">
        <f>Austria!H$9+Belgium!H$5+'Czech Republic'!H$4+Denmark!H$8+Germany!H$8+Italy!H$8+Poland!H$6</f>
        <v>50459</v>
      </c>
      <c r="I13" s="84">
        <f>Austria!I$9+Belgium!I$5+'Czech Republic'!I$4+Denmark!I$8+Germany!I$8+Italy!I$8+Poland!I$6</f>
        <v>45989</v>
      </c>
      <c r="J13" s="84">
        <f>Austria!J$9+Belgium!J$5+'Czech Republic'!J$4+Denmark!J$8+Germany!J$8+Italy!J$8+Poland!J$6</f>
        <v>41018</v>
      </c>
      <c r="K13" s="84">
        <f>Austria!K$9+Belgium!K$5+'Czech Republic'!K$4+Denmark!K$8+Germany!K$8+Italy!K$8+Poland!K$6</f>
        <v>41043</v>
      </c>
      <c r="L13" s="84">
        <f>Austria!L$9+Belgium!L$5+'Czech Republic'!L$4+Denmark!L$8+Germany!L$8+Italy!L$8+Poland!L$6</f>
        <v>41475</v>
      </c>
      <c r="M13" s="84">
        <f>Austria!M$9+Belgium!M$5+'Czech Republic'!M$4+Denmark!M$8+Germany!M$8+Italy!M$8+Poland!M$6</f>
        <v>41949.075684618285</v>
      </c>
      <c r="N13" s="84">
        <f>Austria!N$9+Belgium!N$5+'Czech Republic'!N$4+Denmark!N$8+Germany!N$8+Italy!N$8+Poland!N$6</f>
        <v>6907</v>
      </c>
      <c r="O13" s="84">
        <f>Austria!O$9+Belgium!O$5+'Czech Republic'!O$4+Denmark!O$8+Germany!O$8+Italy!O$8+Poland!O$6</f>
        <v>12534.970000000001</v>
      </c>
      <c r="P13" s="86">
        <f>Austria!P$9+Belgium!P$5+'Czech Republic'!P$4+Denmark!P$8+Germany!P$8+Italy!P$8+Poland!P$6</f>
        <v>7925.11</v>
      </c>
    </row>
    <row r="14" spans="1:17" x14ac:dyDescent="0.2">
      <c r="A14" s="53" t="s">
        <v>3</v>
      </c>
      <c r="B14" s="60">
        <f t="shared" si="0"/>
        <v>-3.3615107638694103E-2</v>
      </c>
      <c r="C14" s="145">
        <f>E14-'[1]EU - variety'!E14</f>
        <v>-158779.17755688902</v>
      </c>
      <c r="D14" s="84">
        <f>F14-'[1]EU - variety'!F14</f>
        <v>-158085.79000000004</v>
      </c>
      <c r="E14" s="56">
        <f>Austria!E$10+Belgium!E$6+'Czech Republic'!E$5+France!E$12+Germany!E$9+Italy!E$9+Spain!E$4+Switzerland!E$8+Netherlands!E$4+Poland!E$7</f>
        <v>647073.54244311096</v>
      </c>
      <c r="F14" s="84">
        <f>Austria!F$10+Belgium!F$6+'Czech Republic'!F$5+France!F$12+Germany!F$9+Italy!F$9+Spain!F$4+Switzerland!F$8+Netherlands!F$4+Poland!F$7</f>
        <v>669581.6</v>
      </c>
      <c r="G14" s="84">
        <f>Austria!G$10+Belgium!G$6+'Czech Republic'!G$5+France!G$12+Germany!G$9+Italy!G$9+Spain!G$4+Switzerland!G$8+Netherlands!G$4+Poland!G$7</f>
        <v>445055</v>
      </c>
      <c r="H14" s="84">
        <f>Austria!H$10+Belgium!H$6+'Czech Republic'!H$5+France!H$12+Germany!H$9+Italy!H$9+Spain!H$4+Switzerland!H$8+Netherlands!H$4+Poland!H$7</f>
        <v>749980.57311930775</v>
      </c>
      <c r="I14" s="84">
        <f>Austria!I$10+Belgium!I$6+'Czech Republic'!I$5+France!I$12+Germany!I$9+Italy!I$9+Spain!I$4+Switzerland!I$8+Netherlands!I$4+Poland!I$7</f>
        <v>738832.17430465354</v>
      </c>
      <c r="J14" s="84">
        <f>Austria!J$10+Belgium!J$6+'Czech Republic'!J$5+France!J$12+Germany!J$9+Italy!J$9+Spain!J$4+Switzerland!J$8+Netherlands!J$4+Poland!J$7</f>
        <v>763810.45176494878</v>
      </c>
      <c r="K14" s="84">
        <f>Austria!K$10+Belgium!K$6+'Czech Republic'!K$5+France!K$12+Germany!K$9+Italy!K$9+Spain!K$4+Switzerland!K$8+Netherlands!K$4+Poland!K$7</f>
        <v>701600.97497093189</v>
      </c>
      <c r="L14" s="84">
        <f>Austria!L$10+Belgium!L$6+'Czech Republic'!L$5+France!L$12+Germany!L$9+Italy!L$9+Spain!L$4+Switzerland!L$8+Netherlands!L$4+Poland!L$7</f>
        <v>557218.77763352951</v>
      </c>
      <c r="M14" s="84">
        <f>Austria!M$10+Belgium!M$6+'Czech Republic'!M$5+France!M$12+Germany!M$9+Italy!M$9+Spain!M$4+Switzerland!M$8+Netherlands!M$4+Poland!M$7</f>
        <v>699267.27345443168</v>
      </c>
      <c r="N14" s="84">
        <f>Austria!N$10+Belgium!N$6+'Czech Republic'!N$5+France!N$12+Germany!N$9+Italy!N$9+Spain!N$4+Switzerland!N$8+Netherlands!N$4+Poland!N$7</f>
        <v>640073.60039808543</v>
      </c>
      <c r="O14" s="84">
        <f>Austria!O$10+Belgium!O$6+'Czech Republic'!O$5+France!O$12+Germany!O$9+Italy!O$9+Spain!O$4+Switzerland!O$8+Netherlands!O$4+Poland!O$7</f>
        <v>683534.10555600189</v>
      </c>
      <c r="P14" s="86">
        <f>Austria!P$10+Belgium!P$6+'Czech Republic'!P$5+France!P$12+Germany!P$9+Italy!P$9+Spain!P$4+Switzerland!P$8+Netherlands!P$4+Poland!P$7</f>
        <v>604548.22990314767</v>
      </c>
    </row>
    <row r="15" spans="1:17" x14ac:dyDescent="0.2">
      <c r="A15" s="53" t="s">
        <v>17</v>
      </c>
      <c r="B15" s="60">
        <f t="shared" si="0"/>
        <v>-0.15954169853801087</v>
      </c>
      <c r="C15" s="145">
        <f>E15-'[1]EU - variety'!E15</f>
        <v>-29184.304780281644</v>
      </c>
      <c r="D15" s="84">
        <f>F15-'[1]EU - variety'!F15</f>
        <v>-26433.160000000003</v>
      </c>
      <c r="E15" s="56">
        <f>Austria!E$11+France!E$14+Italy!E$10+Spain!E$5+Switzerland!E$9+Denmark!E$9</f>
        <v>70833.775219718358</v>
      </c>
      <c r="F15" s="84">
        <f>Austria!F$11+France!F$14+Italy!F$10+Spain!F$5+Switzerland!F$9</f>
        <v>84279.94</v>
      </c>
      <c r="G15" s="84">
        <f>Austria!G$11+France!G$14+Italy!G$10+Spain!G$5+Switzerland!G$9</f>
        <v>82648</v>
      </c>
      <c r="H15" s="84">
        <f>Austria!H$11+France!H$14+Italy!H$10+Spain!H$5+Switzerland!H$9</f>
        <v>68011.807822777002</v>
      </c>
      <c r="I15" s="84">
        <f>Austria!I$11+France!I$14+Italy!I$10+Spain!I$5+Switzerland!I$9</f>
        <v>94799.061513953784</v>
      </c>
      <c r="J15" s="84">
        <f>Austria!J$11+France!J$14+Italy!J$10+Spain!J$5+Switzerland!J$9</f>
        <v>78545.596613197602</v>
      </c>
      <c r="K15" s="84">
        <f>Austria!K$11+France!K$14+Italy!K$10+Spain!K$5+Switzerland!K$9</f>
        <v>81197.30932488096</v>
      </c>
      <c r="L15" s="84">
        <f>Austria!L$11+France!L$14+Italy!L$10+Spain!L$5+Switzerland!L$9</f>
        <v>41960.157530405544</v>
      </c>
      <c r="M15" s="84">
        <f>Austria!M$11+France!M$14+Italy!M$10+Spain!M$5+Switzerland!M$9</f>
        <v>57382.78450103019</v>
      </c>
      <c r="N15" s="84">
        <f>Austria!N$11+France!N$14+Italy!N$10+Spain!N$5+Switzerland!N$9</f>
        <v>46064.57019226464</v>
      </c>
      <c r="O15" s="84">
        <f>Austria!O$11+France!O$14+Italy!O$10+Spain!O$5+Switzerland!O$9</f>
        <v>48779.908977841522</v>
      </c>
      <c r="P15" s="86">
        <f>Austria!P$11+France!P$14+Italy!P$10+Spain!P$5+Switzerland!P$9</f>
        <v>26188.702341418088</v>
      </c>
    </row>
    <row r="16" spans="1:17" x14ac:dyDescent="0.2">
      <c r="A16" s="53" t="s">
        <v>15</v>
      </c>
      <c r="B16" s="60">
        <f t="shared" si="0"/>
        <v>-1</v>
      </c>
      <c r="C16" s="145">
        <f>E16-'[1]EU - variety'!E16</f>
        <v>0</v>
      </c>
      <c r="D16" s="84">
        <f>F16-'[1]EU - variety'!F16</f>
        <v>-115</v>
      </c>
      <c r="E16" s="56">
        <f>Denmark!E$10+Germany!E$10</f>
        <v>0</v>
      </c>
      <c r="F16" s="84">
        <f>Denmark!F$10+Germany!F$10</f>
        <v>35</v>
      </c>
      <c r="G16" s="84">
        <f>Denmark!G$10+Germany!G$10</f>
        <v>0</v>
      </c>
      <c r="H16" s="84">
        <f>Denmark!H$10+Germany!H$10</f>
        <v>0</v>
      </c>
      <c r="I16" s="84">
        <f>Denmark!I$10+Germany!I$10</f>
        <v>97</v>
      </c>
      <c r="J16" s="84">
        <f>Denmark!J$10+Germany!J$10</f>
        <v>138</v>
      </c>
      <c r="K16" s="84">
        <f>Denmark!K$10+Germany!K$10</f>
        <v>0</v>
      </c>
      <c r="L16" s="84">
        <f>Denmark!L$10+Germany!L$10</f>
        <v>0</v>
      </c>
      <c r="M16" s="84">
        <f>Denmark!M$10+Germany!M$10</f>
        <v>27</v>
      </c>
      <c r="N16" s="84">
        <f>Denmark!N$10+Germany!N$10</f>
        <v>64</v>
      </c>
      <c r="O16" s="84">
        <f>Denmark!O$10+Germany!O$10</f>
        <v>0</v>
      </c>
      <c r="P16" s="86">
        <f>Denmark!P$10+Germany!P$10</f>
        <v>0</v>
      </c>
    </row>
    <row r="17" spans="1:102" x14ac:dyDescent="0.2">
      <c r="A17" s="53" t="s">
        <v>10</v>
      </c>
      <c r="B17" s="60">
        <f t="shared" si="0"/>
        <v>-0.58077468603898219</v>
      </c>
      <c r="C17" s="145">
        <f>E17-'[1]EU - variety'!E17</f>
        <v>-32586.48000000001</v>
      </c>
      <c r="D17" s="84">
        <f>F17-'[1]EU - variety'!F17</f>
        <v>-43538.069999999978</v>
      </c>
      <c r="E17" s="56">
        <f>Austria!E$12+'Czech Republic'!E$6+Denmark!E$11+France!E$16+Germany!E$11+Italy!E$11+Switzerland!E$10+Poland!E$8</f>
        <v>89563.12</v>
      </c>
      <c r="F17" s="84">
        <f>Austria!F$12+'Czech Republic'!F$6+Denmark!F$11+France!F$16+Germany!F$11+Italy!F$11+Switzerland!F$10+Poland!F$8</f>
        <v>213639.58000000002</v>
      </c>
      <c r="G17" s="84">
        <f>Austria!G$12+'Czech Republic'!G$6+Denmark!G$11+France!G$16+Germany!G$11+Italy!G$11+Switzerland!G$10+Poland!G$8</f>
        <v>82271</v>
      </c>
      <c r="H17" s="84">
        <f>Austria!H$12+'Czech Republic'!H$6+Denmark!H$11+France!H$16+Germany!H$11+Italy!H$11+Switzerland!H$10+Poland!H$8</f>
        <v>182344.66</v>
      </c>
      <c r="I17" s="84">
        <f>Austria!I$12+'Czech Republic'!I$6+Denmark!I$11+France!I$16+Germany!I$11+Italy!I$11+Switzerland!I$10+Poland!I$8</f>
        <v>205361.91999999998</v>
      </c>
      <c r="J17" s="84">
        <f>Austria!J$12+'Czech Republic'!J$6+Denmark!J$11+France!J$16+Germany!J$11+Italy!J$11+Switzerland!J$10+Poland!J$8</f>
        <v>161068.98000000001</v>
      </c>
      <c r="K17" s="84">
        <f>Austria!K$12+'Czech Republic'!K$6+Denmark!K$11+France!K$16+Germany!K$11+Italy!K$11+Switzerland!K$10+Poland!K$8</f>
        <v>192777.8</v>
      </c>
      <c r="L17" s="84">
        <f>Austria!L$12+'Czech Republic'!L$6+Denmark!L$11+France!L$16+Germany!L$11+Italy!L$11+Switzerland!L$10+Poland!L$8</f>
        <v>168189.26</v>
      </c>
      <c r="M17" s="84">
        <f>Austria!M$12+'Czech Republic'!M$6+Denmark!M$11+France!M$16+Germany!M$11+Italy!M$11+Switzerland!M$10+Poland!M$8</f>
        <v>157330.46539247863</v>
      </c>
      <c r="N17" s="84">
        <f>Austria!N$12+'Czech Republic'!N$6+Denmark!N$11+France!N$16+Germany!N$11+Italy!N$11+Switzerland!N$10+Poland!N$8</f>
        <v>77506.941897024954</v>
      </c>
      <c r="O17" s="84">
        <f>Austria!O$12+'Czech Republic'!O$6+Denmark!O$11+France!O$16+Germany!O$11+Italy!O$11+Switzerland!O$10+Poland!O$8</f>
        <v>111380.23999999999</v>
      </c>
      <c r="P17" s="86">
        <f>Austria!P$12+'Czech Republic'!P$6+Denmark!P$11+France!P$16+Germany!P$11+Italy!P$11+Switzerland!P$10+Poland!P$8</f>
        <v>116812.51999999999</v>
      </c>
      <c r="Q17" s="1"/>
    </row>
    <row r="18" spans="1:102" x14ac:dyDescent="0.2">
      <c r="A18" s="53" t="s">
        <v>27</v>
      </c>
      <c r="B18" s="60">
        <f t="shared" si="0"/>
        <v>-0.2440670257275393</v>
      </c>
      <c r="C18" s="145">
        <f>E18-'[1]EU - variety'!E18</f>
        <v>-27812.520000000019</v>
      </c>
      <c r="D18" s="84">
        <f>F18-'[1]EU - variety'!F18</f>
        <v>-45862.369999999995</v>
      </c>
      <c r="E18" s="56">
        <f>Austria!E$13+Belgium!E$7+'Czech Republic'!E$7+Denmark!E$13+France!E$18+Germany!E$13+Italy!E$12+Switzerland!E$11+Netherlands!E$5+UK!E$7+Poland!E$9</f>
        <v>104243.51999999999</v>
      </c>
      <c r="F18" s="84">
        <f>Austria!F$13+Belgium!F$7+'Czech Republic'!F$7+Denmark!F$13+France!F$18+Germany!F$13+Italy!F$12+Switzerland!F$11+Netherlands!F$5+UK!F$7+Poland!F$9</f>
        <v>137900.48000000001</v>
      </c>
      <c r="G18" s="84">
        <f>Austria!G$13+Belgium!G$7+'Czech Republic'!G$7+Denmark!G$13+France!G$18+Germany!G$13+Italy!G$12+Switzerland!G$11+Netherlands!G$5+UK!G$7+Poland!G$9</f>
        <v>54880</v>
      </c>
      <c r="H18" s="84">
        <f>Austria!H$13+Belgium!H$7+'Czech Republic'!H$7+Denmark!H$13+France!H$18+Germany!H$13+Italy!H$12+Switzerland!H$11+Netherlands!H$5+UK!H$7+Poland!H$9</f>
        <v>150137.28</v>
      </c>
      <c r="I18" s="84">
        <f>Austria!I$13+Belgium!I$7+'Czech Republic'!I$7+Denmark!I$13+France!I$18+Germany!I$13+Italy!I$12+Switzerland!I$11+Netherlands!I$5+UK!I$7+Poland!I$9</f>
        <v>181972.13999999998</v>
      </c>
      <c r="J18" s="84">
        <f>Austria!J$13+Belgium!J$7+'Czech Republic'!J$7+Denmark!J$13+France!J$18+Germany!J$13+Italy!J$12+Switzerland!J$11+Netherlands!J$5+UK!J$7+Poland!J$9</f>
        <v>190635.06</v>
      </c>
      <c r="K18" s="84">
        <f>Austria!K$13+Belgium!K$7+'Czech Republic'!K$7+Denmark!K$13+France!K$18+Germany!K$13+Italy!K$12+Switzerland!K$11+Netherlands!K$5+UK!K$7+Poland!K$9</f>
        <v>162567.67999999999</v>
      </c>
      <c r="L18" s="84">
        <f>Austria!L$13+Belgium!L$7+'Czech Republic'!L$7+Denmark!L$13+France!L$18+Germany!L$13+Italy!L$12+Switzerland!L$11+Netherlands!L$5+UK!L$7+Poland!L$9</f>
        <v>144874.23999999999</v>
      </c>
      <c r="M18" s="84">
        <f>Austria!M$13+Belgium!M$7+'Czech Republic'!M$7+Denmark!M$13+France!M$18+Germany!M$13+Italy!M$12+Switzerland!M$11+Netherlands!M$5+UK!M$7+Poland!M$9</f>
        <v>198784.27405579167</v>
      </c>
      <c r="N18" s="84">
        <f>Austria!N$13+Belgium!N$7+'Czech Republic'!N$7+Denmark!N$13+France!N$18+Germany!N$13+Italy!N$12+Switzerland!N$11+Netherlands!N$5+UK!N$7+Poland!N$9</f>
        <v>126814.28251727117</v>
      </c>
      <c r="O18" s="84">
        <f>Austria!O$13+Belgium!O$7+'Czech Republic'!O$7+Denmark!O$13+France!O$18+Germany!O$13+Italy!O$12+Switzerland!O$11+Netherlands!O$5+UK!O$7+Poland!O$9</f>
        <v>216064.47999999998</v>
      </c>
      <c r="P18" s="86">
        <f>Austria!P$13+Belgium!P$7+'Czech Republic'!P$7+Denmark!P$13+France!P$18+Germany!P$13+Italy!P$12+Switzerland!P$11+Netherlands!P$5+UK!P$7+Poland!P$9</f>
        <v>218512.68</v>
      </c>
      <c r="Q18" s="1"/>
    </row>
    <row r="19" spans="1:102" x14ac:dyDescent="0.2">
      <c r="A19" s="53" t="s">
        <v>26</v>
      </c>
      <c r="B19" s="60">
        <f t="shared" si="0"/>
        <v>-0.3038121727748691</v>
      </c>
      <c r="C19" s="145">
        <f>E19-'[1]EU - variety'!E19</f>
        <v>-9038</v>
      </c>
      <c r="D19" s="84">
        <f>F19-'[1]EU - variety'!F19</f>
        <v>-16614</v>
      </c>
      <c r="E19" s="56">
        <f>Austria!E$14+Belgium!E$8+Denmark!E$14+Germany!E$14+UK!E$8</f>
        <v>42551</v>
      </c>
      <c r="F19" s="84">
        <f>Austria!F$14+Belgium!F$8+Denmark!F$14+Germany!F$14+UK!F$8</f>
        <v>61120</v>
      </c>
      <c r="G19" s="84">
        <f>Austria!G$14+Belgium!G$8+Denmark!G$14+Germany!G$14+UK!G$8</f>
        <v>15147</v>
      </c>
      <c r="H19" s="84">
        <f>Austria!H$14+Belgium!H$8+Denmark!H$14+Germany!H$14+UK!H$8</f>
        <v>57558</v>
      </c>
      <c r="I19" s="84">
        <f>Austria!I$14+Belgium!I$8+Denmark!I$14+Germany!I$14+UK!I$8</f>
        <v>63450.9</v>
      </c>
      <c r="J19" s="84">
        <f>Austria!J$14+Belgium!J$8+Denmark!J$14+Germany!J$14+UK!J$8</f>
        <v>80111.740000000005</v>
      </c>
      <c r="K19" s="84">
        <f>Austria!K$14+Belgium!K$8+Denmark!K$14+Germany!K$14+UK!K$8</f>
        <v>48006.22</v>
      </c>
      <c r="L19" s="84">
        <f>Austria!L$14+Belgium!L$8+Denmark!L$14+Germany!L$14+UK!L$8</f>
        <v>62503.68</v>
      </c>
      <c r="M19" s="84">
        <f>Austria!M$14+Belgium!M$8+Denmark!M$14+Germany!M$14+UK!M$8</f>
        <v>67236</v>
      </c>
      <c r="N19" s="84">
        <f>Austria!N$14+Belgium!N$8+Denmark!N$14+Germany!N$14+UK!N$8</f>
        <v>48694.726031768951</v>
      </c>
      <c r="O19" s="84">
        <f>Austria!O$14+Belgium!O$8+Denmark!O$14+Germany!O$14+UK!O$8</f>
        <v>68587</v>
      </c>
      <c r="P19" s="86">
        <f>Austria!P$14+Belgium!P$8+Denmark!P$14+Germany!P$14+UK!P$8</f>
        <v>64784</v>
      </c>
    </row>
    <row r="20" spans="1:102" x14ac:dyDescent="0.2">
      <c r="A20" s="53" t="s">
        <v>50</v>
      </c>
      <c r="B20" s="60"/>
      <c r="C20" s="145">
        <f>E20-'[1]EU - variety'!E20</f>
        <v>0</v>
      </c>
      <c r="D20" s="84">
        <f>F20-'[1]EU - variety'!F20</f>
        <v>0</v>
      </c>
      <c r="E20" s="56">
        <f>Italy!E$13</f>
        <v>0</v>
      </c>
      <c r="F20" s="84">
        <f>Italy!F$13</f>
        <v>0</v>
      </c>
      <c r="G20" s="84">
        <f>Italy!G$13</f>
        <v>0</v>
      </c>
      <c r="H20" s="84">
        <f>Italy!H$13</f>
        <v>0</v>
      </c>
      <c r="I20" s="84">
        <f>Italy!I$13</f>
        <v>0</v>
      </c>
      <c r="J20" s="84">
        <f>Italy!J$13</f>
        <v>6</v>
      </c>
      <c r="K20" s="84">
        <f>Italy!K$13</f>
        <v>0</v>
      </c>
      <c r="L20" s="84">
        <f>Italy!L$13+Poland!L$10</f>
        <v>60000</v>
      </c>
      <c r="M20" s="84">
        <f>Italy!M$13+Poland!M$10</f>
        <v>60002.004452036366</v>
      </c>
      <c r="N20" s="84">
        <f>Italy!N$13+Poland!N$10</f>
        <v>0</v>
      </c>
      <c r="O20" s="84">
        <f>Italy!O$13+Poland!O$10</f>
        <v>2</v>
      </c>
      <c r="P20" s="86">
        <f>Italy!P$13+Poland!P$10</f>
        <v>1003</v>
      </c>
      <c r="S20" s="16"/>
    </row>
    <row r="21" spans="1:102" x14ac:dyDescent="0.2">
      <c r="A21" s="53" t="s">
        <v>34</v>
      </c>
      <c r="B21" s="60"/>
      <c r="C21" s="145">
        <f>E21-'[1]EU - variety'!E21</f>
        <v>0</v>
      </c>
      <c r="D21" s="84">
        <f>F21-'[1]EU - variety'!F21</f>
        <v>0</v>
      </c>
      <c r="E21" s="56">
        <f>Poland!E$11</f>
        <v>0</v>
      </c>
      <c r="F21" s="84">
        <f>Poland!F$11</f>
        <v>0</v>
      </c>
      <c r="G21" s="84">
        <f>Poland!G$11</f>
        <v>0</v>
      </c>
      <c r="H21" s="84">
        <f>Poland!H$11</f>
        <v>0</v>
      </c>
      <c r="I21" s="84">
        <f>Poland!I$11</f>
        <v>0</v>
      </c>
      <c r="J21" s="84">
        <f>Poland!J$11</f>
        <v>0</v>
      </c>
      <c r="K21" s="84">
        <f>Poland!K$11</f>
        <v>0</v>
      </c>
      <c r="L21" s="84">
        <f>Poland!L$11</f>
        <v>0</v>
      </c>
      <c r="M21" s="84">
        <f>Poland!M$11</f>
        <v>0</v>
      </c>
      <c r="N21" s="84">
        <f>Poland!N$11</f>
        <v>5000</v>
      </c>
      <c r="O21" s="84">
        <f>Poland!O$11</f>
        <v>26000</v>
      </c>
      <c r="P21" s="86">
        <f>Poland!P$11</f>
        <v>10000</v>
      </c>
    </row>
    <row r="22" spans="1:102" x14ac:dyDescent="0.2">
      <c r="A22" s="53" t="s">
        <v>18</v>
      </c>
      <c r="B22" s="60">
        <f t="shared" si="0"/>
        <v>-0.31812742110203457</v>
      </c>
      <c r="C22" s="145">
        <f>E22-'[1]EU - variety'!E22</f>
        <v>-2674.4039371762137</v>
      </c>
      <c r="D22" s="84">
        <f>F22-'[1]EU - variety'!F22</f>
        <v>-3144.7000000000016</v>
      </c>
      <c r="E22" s="56">
        <f>Italy!E$14</f>
        <v>5192.5960628237863</v>
      </c>
      <c r="F22" s="84">
        <f>Italy!F$14</f>
        <v>7615.2</v>
      </c>
      <c r="G22" s="84">
        <f>Italy!G$14</f>
        <v>2624</v>
      </c>
      <c r="H22" s="84">
        <f>Italy!H$14</f>
        <v>8335.43</v>
      </c>
      <c r="I22" s="84">
        <f>Italy!I$14</f>
        <v>10162.19</v>
      </c>
      <c r="J22" s="84">
        <f>Italy!J$14</f>
        <v>14809</v>
      </c>
      <c r="K22" s="84">
        <f>Italy!K$14</f>
        <v>10837</v>
      </c>
      <c r="L22" s="84">
        <f>Italy!L$14</f>
        <v>11344</v>
      </c>
      <c r="M22" s="84">
        <f>Italy!M$14</f>
        <v>6429.2799066551888</v>
      </c>
      <c r="N22" s="84">
        <f>Italy!N$14</f>
        <v>14051.587397247065</v>
      </c>
      <c r="O22" s="84">
        <f>Italy!O$14</f>
        <v>8328.0400000000009</v>
      </c>
      <c r="P22" s="86">
        <f>Italy!P$14</f>
        <v>23702.27</v>
      </c>
    </row>
    <row r="23" spans="1:102" x14ac:dyDescent="0.2">
      <c r="A23" s="53" t="s">
        <v>13</v>
      </c>
      <c r="B23" s="60">
        <f t="shared" si="0"/>
        <v>-0.18150329946057422</v>
      </c>
      <c r="C23" s="145">
        <f>E23-'[1]EU - variety'!E23</f>
        <v>-10139.159999999996</v>
      </c>
      <c r="D23" s="84">
        <f>F23-'[1]EU - variety'!F23</f>
        <v>-15774.779999999999</v>
      </c>
      <c r="E23" s="56">
        <f>Austria!E$16+Denmark!E$16+Germany!E$15+Switzerland!E$14+Poland!E$12+Italy!E$15</f>
        <v>27558.080000000002</v>
      </c>
      <c r="F23" s="84">
        <f>Austria!F$16+Denmark!F$16+Germany!F$15+Switzerland!F$14+Poland!F$12+Italy!F$15</f>
        <v>33669.14</v>
      </c>
      <c r="G23" s="84">
        <f>Austria!G$16+Denmark!G$16+Germany!G$15+Switzerland!G$14+Poland!G$12</f>
        <v>2926</v>
      </c>
      <c r="H23" s="84">
        <f>Austria!H$16+Denmark!H$16+Germany!H$15+Switzerland!H$14+Poland!H$12</f>
        <v>7341.18</v>
      </c>
      <c r="I23" s="84">
        <f>Austria!I$16+Denmark!I$16+Germany!I$15+Switzerland!I$14+Poland!I$12</f>
        <v>9958.06</v>
      </c>
      <c r="J23" s="84">
        <f>Austria!J$16+Denmark!J$16+Germany!J$15+Switzerland!J$14+Poland!J$12</f>
        <v>9437.14</v>
      </c>
      <c r="K23" s="84">
        <f>Austria!K$16+Denmark!K$16+Germany!K$15+Switzerland!K$14+Poland!K$12</f>
        <v>7449.0599999999995</v>
      </c>
      <c r="L23" s="84">
        <f>Austria!L$15+Denmark!L$16+Germany!L$15+Switzerland!L$14</f>
        <v>6429</v>
      </c>
      <c r="M23" s="84">
        <f>Austria!M$16+Denmark!M$16+Germany!M$15+Switzerland!M$14</f>
        <v>6342</v>
      </c>
      <c r="N23" s="84">
        <f>Austria!N$16+Denmark!N$16+Germany!N$15+Switzerland!N$14</f>
        <v>5343</v>
      </c>
      <c r="O23" s="84">
        <f>Austria!O$16+Denmark!O$16+Germany!O$15+Switzerland!O$14</f>
        <v>6017</v>
      </c>
      <c r="P23" s="86">
        <f>Austria!P$16+Denmark!P$16+Germany!P$15+Switzerland!P$14</f>
        <v>5457</v>
      </c>
    </row>
    <row r="24" spans="1:102" x14ac:dyDescent="0.2">
      <c r="A24" s="53" t="s">
        <v>19</v>
      </c>
      <c r="B24" s="60">
        <f t="shared" si="0"/>
        <v>-0.14310630493290338</v>
      </c>
      <c r="C24" s="145">
        <f>E24-'[1]EU - variety'!E24</f>
        <v>-33514.109766006179</v>
      </c>
      <c r="D24" s="84">
        <f>F24-'[1]EU - variety'!F24</f>
        <v>-41128.910000000003</v>
      </c>
      <c r="E24" s="56">
        <f>'Czech Republic'!E$8+France!E$19+Italy!E$16+Spain!E$6+Poland!E$13</f>
        <v>72696.890233993821</v>
      </c>
      <c r="F24" s="84">
        <f>'Czech Republic'!F$8+France!F$19+Italy!F$16+Spain!F$6+Poland!F$13</f>
        <v>84837.7</v>
      </c>
      <c r="G24" s="84">
        <f>'Czech Republic'!G$8+France!G$19+Italy!G$16+Spain!G$6+Poland!G$13</f>
        <v>49794</v>
      </c>
      <c r="H24" s="84">
        <f>'Czech Republic'!H$8+France!H$19+Italy!H$16+Spain!H$6+Poland!H$13</f>
        <v>77873.229791352569</v>
      </c>
      <c r="I24" s="84">
        <f>'Czech Republic'!I$8+France!I$19+Italy!I$16+Spain!I$6+Poland!I$13</f>
        <v>75851.630731326324</v>
      </c>
      <c r="J24" s="84">
        <f>'Czech Republic'!J$8+France!J$19+Italy!J$16+Spain!J$6+Poland!J$13</f>
        <v>70070.734009554551</v>
      </c>
      <c r="K24" s="84">
        <f>'Czech Republic'!K$8+France!K$19+Italy!K$16+Spain!K$6+Poland!K$13</f>
        <v>73878.208057615455</v>
      </c>
      <c r="L24" s="84">
        <f>'Czech Republic'!L$8+France!L$19+Italy!L$16+Spain!L$6+Poland!L$12+Poland!L$13</f>
        <v>47077.904835374044</v>
      </c>
      <c r="M24" s="84">
        <f>'Czech Republic'!M$8+France!M$19+Italy!M$16+Spain!M$6+Poland!M$12+Poland!M$13</f>
        <v>55572.975763809452</v>
      </c>
      <c r="N24" s="84">
        <f>'Czech Republic'!N$8+France!N$19+Italy!N$16+Spain!N$6+Poland!N$12+Poland!N$13</f>
        <v>56139.274429112098</v>
      </c>
      <c r="O24" s="84">
        <f>'Czech Republic'!O$8+France!O$19+Italy!O$16+Spain!O$6+Poland!O$12+Poland!O$13</f>
        <v>78326.893772308147</v>
      </c>
      <c r="P24" s="86">
        <f>'Czech Republic'!P$8+France!P$19+Italy!P$16+Spain!P$6+Poland!P$12+Poland!P$13</f>
        <v>66542.926592710137</v>
      </c>
    </row>
    <row r="25" spans="1:102" x14ac:dyDescent="0.2">
      <c r="A25" s="53" t="s">
        <v>133</v>
      </c>
      <c r="B25" s="60">
        <f t="shared" si="0"/>
        <v>5.285213111276825E-2</v>
      </c>
      <c r="C25" s="145">
        <f>E25-'[1]EU - variety'!E25</f>
        <v>-19429.959999999992</v>
      </c>
      <c r="D25" s="84">
        <f>F25-'[1]EU - variety'!F25</f>
        <v>13595.780000000006</v>
      </c>
      <c r="E25" s="56">
        <f>Germany!E$16+Austria!E$17+Poland!E$14</f>
        <v>75645.72</v>
      </c>
      <c r="F25" s="84">
        <f>Germany!F$16+Austria!F$17+Poland!F$14</f>
        <v>71848.38</v>
      </c>
      <c r="G25" s="84">
        <f>Germany!G$16+Austria!G$17</f>
        <v>28554</v>
      </c>
      <c r="H25" s="84">
        <f>Germany!H$16</f>
        <v>44254</v>
      </c>
      <c r="I25" s="84">
        <f>Germany!I$16</f>
        <v>28200</v>
      </c>
      <c r="J25" s="84">
        <f>Germany!J$16</f>
        <v>24718</v>
      </c>
      <c r="K25" s="84">
        <f>Germany!K$16</f>
        <v>12045</v>
      </c>
      <c r="L25" s="84">
        <f>Germany!L$16</f>
        <v>16692</v>
      </c>
      <c r="M25" s="84">
        <f>Germany!M$16</f>
        <v>12671</v>
      </c>
      <c r="N25" s="84">
        <f>Germany!N$16</f>
        <v>7452</v>
      </c>
      <c r="O25" s="84">
        <f>Germany!O$16</f>
        <v>10952</v>
      </c>
      <c r="P25" s="86">
        <f>Germany!P$16</f>
        <v>7842</v>
      </c>
    </row>
    <row r="26" spans="1:102" s="4" customFormat="1" ht="13.5" thickBot="1" x14ac:dyDescent="0.25">
      <c r="A26" s="53" t="s">
        <v>122</v>
      </c>
      <c r="B26" s="60">
        <f t="shared" si="0"/>
        <v>-0.36274887604367367</v>
      </c>
      <c r="C26" s="145">
        <f>E26-'[1]EU - variety'!E26</f>
        <v>-6546.7999999999993</v>
      </c>
      <c r="D26" s="84">
        <f>F26-'[1]EU - variety'!F26</f>
        <v>-6332.9000000000015</v>
      </c>
      <c r="E26" s="56">
        <f>France!E$21+France!E$20+Italy!E$17+Switzerland!E$12</f>
        <v>10914.2</v>
      </c>
      <c r="F26" s="84">
        <f>France!F$21+France!F$20+Italy!F$17+Switzerland!F$12</f>
        <v>17127</v>
      </c>
      <c r="G26" s="84">
        <f>France!G$21+France!G$20+Italy!G$17+Switzerland!G$12</f>
        <v>2336</v>
      </c>
      <c r="H26" s="84">
        <f>France!H$21+France!H$20+Italy!H$17+Switzerland!H$12</f>
        <v>11515.4</v>
      </c>
      <c r="I26" s="84">
        <f>France!I$21+France!I$20+Italy!I$17+Switzerland!I$12</f>
        <v>13019.5</v>
      </c>
      <c r="J26" s="84">
        <f>France!J$21+France!J$20+Italy!J$17+Switzerland!J$12</f>
        <v>11015</v>
      </c>
      <c r="K26" s="84">
        <f>France!K$21+France!K$20+Italy!K$17+Switzerland!K$12</f>
        <v>16085</v>
      </c>
      <c r="L26" s="84">
        <f>France!L$21+France!L$20+Italy!L$17+Switzerland!L$12</f>
        <v>3482</v>
      </c>
      <c r="M26" s="84">
        <f>France!M$21+France!M$20+Italy!M$17+Switzerland!M$12</f>
        <v>10813.886782428579</v>
      </c>
      <c r="N26" s="84">
        <f>France!N$21+France!N$20+Italy!N$17+Switzerland!N$12</f>
        <v>12105.002024925874</v>
      </c>
      <c r="O26" s="84">
        <f>France!O$21+France!O$20+Italy!O$17+Switzerland!O$12</f>
        <v>10828.1</v>
      </c>
      <c r="P26" s="86">
        <f>France!P$21+France!P$20+Italy!P$17+Switzerland!P$12</f>
        <v>1557.9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</row>
    <row r="27" spans="1:102" s="16" customFormat="1" x14ac:dyDescent="0.2">
      <c r="A27" s="53" t="s">
        <v>89</v>
      </c>
      <c r="B27" s="60">
        <f t="shared" si="0"/>
        <v>-0.68037128949126657</v>
      </c>
      <c r="C27" s="145">
        <f>E27-'[1]EU - variety'!E27</f>
        <v>-20190</v>
      </c>
      <c r="D27" s="84">
        <f>F27-'[1]EU - variety'!F27</f>
        <v>-5684</v>
      </c>
      <c r="E27" s="56">
        <f>'Czech Republic'!E$9+Germany!E$17+Poland!E$15</f>
        <v>40185</v>
      </c>
      <c r="F27" s="84">
        <f>'Czech Republic'!F$9+Germany!F$17+Poland!F$15</f>
        <v>125724</v>
      </c>
      <c r="G27" s="84">
        <f>'Czech Republic'!G$9+Germany!G$17+Poland!G$15</f>
        <v>35134</v>
      </c>
      <c r="H27" s="84">
        <f>'Czech Republic'!H$9+Germany!H$17+Poland!H$15</f>
        <v>70724</v>
      </c>
      <c r="I27" s="84">
        <f>'Czech Republic'!I$9+Germany!I$17+Poland!I$15</f>
        <v>71564</v>
      </c>
      <c r="J27" s="84">
        <f>'Czech Republic'!J$9+Germany!J$17+Poland!J$15</f>
        <v>65837</v>
      </c>
      <c r="K27" s="84">
        <f>'Czech Republic'!K$9+Germany!K$17+Poland!K$15</f>
        <v>70099</v>
      </c>
      <c r="L27" s="84">
        <f>'Czech Republic'!L$9+Germany!L$17+Poland!L$15</f>
        <v>51088</v>
      </c>
      <c r="M27" s="84">
        <f>'Czech Republic'!M$9+Germany!M$17+Poland!M$15</f>
        <v>51020</v>
      </c>
      <c r="N27" s="84">
        <f>'Czech Republic'!N$9+Germany!N$17+Poland!N$15</f>
        <v>20372</v>
      </c>
      <c r="O27" s="84">
        <f>'Czech Republic'!O$9+Germany!O$17+Poland!O$15</f>
        <v>20115</v>
      </c>
      <c r="P27" s="86">
        <f>'Czech Republic'!P$9+Germany!P$17+Poland!P$15</f>
        <v>20229</v>
      </c>
    </row>
    <row r="28" spans="1:102" x14ac:dyDescent="0.2">
      <c r="A28" s="53" t="s">
        <v>21</v>
      </c>
      <c r="B28" s="60">
        <f t="shared" si="0"/>
        <v>-1</v>
      </c>
      <c r="C28" s="145">
        <f>E28-'[1]EU - variety'!E28</f>
        <v>0</v>
      </c>
      <c r="D28" s="84">
        <f>F28-'[1]EU - variety'!F28</f>
        <v>-2073.0500000000002</v>
      </c>
      <c r="E28" s="56">
        <f>Italy!E$18</f>
        <v>0</v>
      </c>
      <c r="F28" s="84">
        <f>Italy!F$18</f>
        <v>407</v>
      </c>
      <c r="G28" s="84">
        <f>Italy!G$18</f>
        <v>671</v>
      </c>
      <c r="H28" s="84">
        <f>Italy!H$18</f>
        <v>4410.3999999999996</v>
      </c>
      <c r="I28" s="84">
        <f>Italy!I$18</f>
        <v>5295.5</v>
      </c>
      <c r="J28" s="84">
        <f>Italy!J$18</f>
        <v>5820</v>
      </c>
      <c r="K28" s="84">
        <f>Italy!K$18</f>
        <v>3515</v>
      </c>
      <c r="L28" s="84">
        <f>Italy!L$18</f>
        <v>365</v>
      </c>
      <c r="M28" s="84">
        <f>Italy!M$18</f>
        <v>4173.2691397213102</v>
      </c>
      <c r="N28" s="84">
        <f>Italy!N$18</f>
        <v>4684.1970273537181</v>
      </c>
      <c r="O28" s="84">
        <f>Italy!O$18</f>
        <v>2353.65</v>
      </c>
      <c r="P28" s="86">
        <f>Italy!P$18</f>
        <v>3581.78</v>
      </c>
    </row>
    <row r="29" spans="1:102" x14ac:dyDescent="0.2">
      <c r="A29" s="53" t="s">
        <v>35</v>
      </c>
      <c r="B29" s="60">
        <f t="shared" si="0"/>
        <v>-1</v>
      </c>
      <c r="C29" s="145">
        <f>E29-'[1]EU - variety'!E29</f>
        <v>-110</v>
      </c>
      <c r="D29" s="84">
        <f>F29-'[1]EU - variety'!F29</f>
        <v>-35087</v>
      </c>
      <c r="E29" s="56">
        <f>'Czech Republic'!E$10+UK!E$9+Poland!E$16+Denmark!E$17</f>
        <v>0</v>
      </c>
      <c r="F29" s="84">
        <f>'Czech Republic'!F$10+UK!F$9+Poland!F$16+Denmark!F$17</f>
        <v>12</v>
      </c>
      <c r="G29" s="84">
        <f>'Czech Republic'!G$10+UK!G$9+Poland!G$16+Denmark!G$17</f>
        <v>0</v>
      </c>
      <c r="H29" s="84">
        <f>'Czech Republic'!H$10+UK!H$9+Poland!H$16+Denmark!H$17</f>
        <v>0</v>
      </c>
      <c r="I29" s="84">
        <f>'Czech Republic'!I$10+UK!I$9+Poland!I$16+Denmark!I$17</f>
        <v>25</v>
      </c>
      <c r="J29" s="84">
        <f>'Czech Republic'!J$10+UK!J$9+Poland!J$16+Denmark!J$17</f>
        <v>2</v>
      </c>
      <c r="K29" s="84">
        <f>'Czech Republic'!K$10+UK!K$9+Poland!K$16+Denmark!K$17</f>
        <v>0</v>
      </c>
      <c r="L29" s="84">
        <f>'Czech Republic'!L$10+UK!L$9+Poland!L$16+Denmark!L$17</f>
        <v>8</v>
      </c>
      <c r="M29" s="84">
        <f>'Czech Republic'!M$10+UK!M$9+Poland!M$16</f>
        <v>0</v>
      </c>
      <c r="N29" s="84">
        <f>'Czech Republic'!N$10+UK!N$9+Poland!N$16</f>
        <v>0</v>
      </c>
      <c r="O29" s="84">
        <f>'Czech Republic'!O$10+UK!O$9+Poland!O$16</f>
        <v>0</v>
      </c>
      <c r="P29" s="86">
        <f>'Czech Republic'!P$10+UK!P$9+Poland!P$16</f>
        <v>1000</v>
      </c>
    </row>
    <row r="30" spans="1:102" x14ac:dyDescent="0.2">
      <c r="A30" s="53" t="s">
        <v>123</v>
      </c>
      <c r="B30" s="60">
        <f t="shared" si="0"/>
        <v>-0.15882022532504875</v>
      </c>
      <c r="C30" s="145">
        <f>E30-'[1]EU - variety'!E30</f>
        <v>-21517.600000000006</v>
      </c>
      <c r="D30" s="84">
        <f>F30-'[1]EU - variety'!F30</f>
        <v>-21915.289999999994</v>
      </c>
      <c r="E30" s="56">
        <f>Austria!E$6+Denmark!E$18+France!E$2+France!E$24+France!E$17+France!E$15+France!E$13+Switzerland!E$17+UK!E$10+Germany!E$19+Netherlands!E$6</f>
        <v>60831.479999999996</v>
      </c>
      <c r="F30" s="84">
        <f>Austria!F$6+Denmark!F$18+France!F$2+France!F$24+France!F$17+France!F$15+France!F$13+Switzerland!F$17+UK!F$10+Germany!F$19+Netherlands!F$6</f>
        <v>72316.86</v>
      </c>
      <c r="G30" s="84">
        <f>Austria!G$6+Denmark!G$18+France!G$2+France!G$24+France!G$17+France!G$15+France!G$13+Switzerland!G$17+UK!G$10+Germany!G$19+Netherlands!G$6</f>
        <v>30787</v>
      </c>
      <c r="H30" s="84">
        <f>Austria!H$6+Denmark!H$18+France!H$2+France!H$24+France!H$17+France!H$15+France!H$13+Switzerland!H$17+UK!H$10+Germany!H$19+Netherlands!H$6</f>
        <v>52207.24</v>
      </c>
      <c r="I30" s="84">
        <f>Austria!I$6+Denmark!I$18+France!I$2+France!I$24+France!I$17+France!I$15+France!I$13+Switzerland!I$17+UK!I$10+Germany!I$19+Netherlands!I$6</f>
        <v>52433.380000000005</v>
      </c>
      <c r="J30" s="84">
        <f>Austria!J$6+Denmark!J$18+France!J$2+France!J$24+France!J$17+France!J$15+France!J$13+Switzerland!J$17+UK!J$10+Germany!J$19+Netherlands!J$6</f>
        <v>55705.599999999999</v>
      </c>
      <c r="K30" s="84">
        <f>Austria!K$6+Denmark!K$18+France!K$2+France!K$24+France!K$17+France!K$15+France!K$13+Switzerland!K$17+UK!K$10+Germany!K$19+Netherlands!K$6</f>
        <v>49079.76</v>
      </c>
      <c r="L30" s="84">
        <f>Austria!L$6+Denmark!L$18+France!L$2+France!L$24+France!L$17+France!L$15+France!L$13+Switzerland!L$17+UK!L$10+Germany!L$19+Netherlands!L$6</f>
        <v>19513.059999999998</v>
      </c>
      <c r="M30" s="84">
        <f>Austria!M$6+Denmark!M$18+France!M$2+France!M$24+France!M$17+France!M$15+France!M$13+Switzerland!M$17+UK!M$10+Germany!M$19+Netherlands!M$6</f>
        <v>23511</v>
      </c>
      <c r="N30" s="84">
        <f>Austria!N$6+Denmark!N$18+France!N$2+France!N$24+France!N$17+France!N$15+France!N$13+Switzerland!N$17+UK!N$10+Germany!N$19+Netherlands!N$6</f>
        <v>15890</v>
      </c>
      <c r="O30" s="84">
        <f>Austria!O$6+Denmark!O$18+France!O$2+France!O$24+France!O$17+France!O$15+France!O$13+Switzerland!O$17+UK!O$10+Germany!O$19+Netherlands!O$6</f>
        <v>20263</v>
      </c>
      <c r="P30" s="86">
        <f>Austria!P$6+Denmark!P$18+France!P$2+France!P$24+France!P$17+France!P$15+France!P$13+Switzerland!P$17+UK!P$10+Germany!P$19+Netherlands!P$6</f>
        <v>1837</v>
      </c>
    </row>
    <row r="31" spans="1:102" ht="13.5" thickBot="1" x14ac:dyDescent="0.25">
      <c r="A31" s="54" t="s">
        <v>6</v>
      </c>
      <c r="B31" s="61">
        <f t="shared" si="0"/>
        <v>-0.52350184373320596</v>
      </c>
      <c r="C31" s="146">
        <f>E31-'[1]EU - variety'!E31</f>
        <v>-60303.45</v>
      </c>
      <c r="D31" s="85">
        <f>F31-'[1]EU - variety'!F31</f>
        <v>-125779.02999999997</v>
      </c>
      <c r="E31" s="57">
        <f>Austria!E$2+Austria!E$15+Austria!E$18+Austria!E$19+Austria!E$20+Belgium!E$9+'Czech Republic'!E$11+Denmark!E$3+Denmark!E$15+Denmark!E$12+Denmark!E$19+Germany!E$12+Germany!E$18+Germany!E$20+Italy!E$19+Spain!E$7+Switzerland!E$7+Switzerland!E$13+Switzerland!E$15+Switzerland!E$16+Switzerland!E$18+Netherlands!E$7+UK!E$11+France!E$3+France!E$7+France!E$22+France!E$23+France!E$25+Poland!E$10+Poland!E$17</f>
        <v>122961.55</v>
      </c>
      <c r="F31" s="85">
        <f>Austria!F$2+Austria!F$15+Austria!F$18+Austria!F$19+Austria!F$20+Belgium!F$9+'Czech Republic'!F$11+Denmark!F$3+Denmark!F$15+Denmark!F$12+Denmark!F$19+Germany!F$12+Germany!F$18+Germany!F$20+Italy!F$19+Spain!F$7+Switzerland!F$7+Switzerland!F$13+Switzerland!F$15+Switzerland!F$16+Switzerland!F$18+Netherlands!F$7+UK!F$11+France!F$3+France!F$7+France!F$22+France!F$23+France!F$25+Poland!F$10+Poland!F$17</f>
        <v>258052.52000000002</v>
      </c>
      <c r="G31" s="85">
        <f>Austria!G$2+Austria!G$15+Austria!G$18+Austria!G$19+Austria!G$20+Belgium!G$9+'Czech Republic'!G$11+Denmark!G$3+Denmark!G$15+Denmark!G$12+Denmark!G$19+Germany!G$12+Germany!G$18+Germany!G$20+Italy!G$19+Spain!G$7+Switzerland!G$7+Switzerland!G$13+Switzerland!G$15+Switzerland!G$16+Switzerland!G$18+Netherlands!G$7+UK!G$11+France!G$3+France!G$7+France!G$22+France!G$23+France!G$25+Poland!G$10+Poland!G$17</f>
        <v>80473</v>
      </c>
      <c r="H31" s="85">
        <f>Austria!H$2+Austria!H$15+Austria!H$18+Austria!H$19+Austria!H$20+Belgium!H$9+'Czech Republic'!H$11+Denmark!H$3+Denmark!H$15+Denmark!H$12+Denmark!H$19+Germany!H$12+Germany!H$18+Germany!H$20+Italy!H$19+Spain!H$7+Switzerland!H$7+Switzerland!H$13+Switzerland!H$15+Switzerland!H$16+Switzerland!H$18+Netherlands!H$7+UK!H$11+France!H$3+France!H$7+France!H$22+France!H$23+France!H$25+Poland!H$10+Poland!H$17</f>
        <v>214031.2</v>
      </c>
      <c r="I31" s="85">
        <f>Austria!I$2+Austria!I$15+Austria!I$18+Austria!I$19+Austria!I$20+Belgium!I$9+'Czech Republic'!I$11+Denmark!I$3+Denmark!I$15+Denmark!I$12+Denmark!I$19+Germany!I$12+Germany!I$18+Germany!I$20+Italy!I$19+Spain!I$7+Switzerland!I$7+Switzerland!I$13+Switzerland!I$15+Switzerland!I$16+Switzerland!I$18+Netherlands!I$7+UK!I$11+France!I$3+France!I$7+France!I$22+France!I$23+France!I$25+Poland!I$10+Poland!I$17</f>
        <v>226831.66</v>
      </c>
      <c r="J31" s="85">
        <f>Austria!J$2+Austria!J$15+Austria!J$18+Austria!J$19+Austria!J$20+Belgium!J$9+'Czech Republic'!J$11+Denmark!J$3+Denmark!J$15+Denmark!J$12+Denmark!J$19+Germany!J$12+Germany!J$18+Germany!J$20+Italy!J$19+Spain!J$7+Switzerland!J$7+Switzerland!J$13+Switzerland!J$15+Switzerland!J$16+Switzerland!J$18+Netherlands!J$7+UK!J$11+France!J$3+France!J$7+France!J$22+France!J$23+France!J$25+Poland!J$10+Poland!J$17</f>
        <v>185468.818</v>
      </c>
      <c r="K31" s="85">
        <f>Austria!K$2+Austria!K$15+Austria!K$18+Austria!K$19+Austria!K$20+Belgium!K$9+'Czech Republic'!K$11+Denmark!K$3+Denmark!K$15+Denmark!K$12+Denmark!K$19+Germany!K$12+Germany!K$18+Germany!K$20+Italy!K$19+Spain!K$7+Switzerland!K$7+Switzerland!K$13+Switzerland!K$15+Switzerland!K$16+Switzerland!K$18+Netherlands!K$7+UK!K$11+France!K$3+France!K$7+France!K$22+France!K$23+France!K$25+Poland!K$10+Poland!K$17</f>
        <v>162912.47399999999</v>
      </c>
      <c r="L31" s="85">
        <f>Austria!L$2+Austria!L$15+Austria!L$18+Austria!L$19+Austria!L$20+Belgium!L$9+'Czech Republic'!L$11+Denmark!L$3+Denmark!L$15+Denmark!L$12+Denmark!L$19+Germany!L$12+Germany!L$18+Germany!L$20+Italy!L$19+Spain!L$7+Switzerland!L$7+Switzerland!L$13+Switzerland!L$15+Switzerland!L$16+Switzerland!L$18+Netherlands!L$7+UK!L$11+France!L$3+France!L$7+France!L$22+France!L$23+France!L$25+Poland!L$10+Poland!L$17</f>
        <v>117752.48</v>
      </c>
      <c r="M31" s="85">
        <f>Austria!M$2+Austria!M$15+Austria!M$18+Austria!M$19+Austria!M$20+Belgium!M$9+'Czech Republic'!M$11+Denmark!M$3+Denmark!M$15+Denmark!M$12+Denmark!M$19+Germany!M$12+Germany!M$18+Germany!M$20+Italy!M$19+Spain!M$7+Switzerland!M$7+Switzerland!M$13+Switzerland!M$15+Switzerland!M$16+Switzerland!M$18+Netherlands!M$7+UK!M$11+France!M$3+France!M$7+France!M$22+France!M$23+France!M$25+Poland!M$10+Poland!M$17</f>
        <v>144728.55821030829</v>
      </c>
      <c r="N31" s="85">
        <f>Austria!N$2+Austria!N$15+Austria!N$18+Austria!N$19+Austria!N$20+Belgium!N$9+'Czech Republic'!N$11+Denmark!N$3+Denmark!N$15+Denmark!N$12+Denmark!N$19+Germany!N$12+Germany!N$18+Germany!N$20+Italy!N$19+Spain!N$7+Switzerland!N$7+Switzerland!N$13+Switzerland!N$15+Switzerland!N$16+Switzerland!N$18+Netherlands!N$7+UK!N$11+France!N$3+France!N$7+France!N$22+France!N$23+France!N$25+Poland!N$10+Poland!N$17</f>
        <v>84146.839533869585</v>
      </c>
      <c r="O31" s="85">
        <f>Austria!O$2+Austria!O$15+Austria!O$18+Austria!O$19+Austria!O$20+Belgium!O$9+'Czech Republic'!O$11+Denmark!O$3+Denmark!O$15+Denmark!O$12+Denmark!O$19+Germany!O$12+Germany!O$18+Germany!O$20+Italy!O$19+Spain!O$7+Switzerland!O$7+Switzerland!O$13+Switzerland!O$15+Switzerland!O$16+Switzerland!O$18+Netherlands!O$7+UK!O$11+France!O$3+France!O$7+France!O$22+France!O$23+France!O$25+Poland!O$10+Poland!O$17</f>
        <v>95057</v>
      </c>
      <c r="P31" s="87">
        <f>Austria!P$2+Austria!P$15+Austria!P$18+Austria!P$19+Austria!P$20+Belgium!P$9+'Czech Republic'!P$11+Denmark!P$3+Denmark!P$15+Denmark!P$12+Denmark!P$19+Germany!P$12+Germany!P$18+Germany!P$20+Italy!P$19+Spain!P$7+Switzerland!P$7+Switzerland!P$13+Switzerland!P$15+Switzerland!P$16+Switzerland!P$18+Netherlands!P$7+UK!P$11+France!P$3+France!P$7+France!P$22+France!P$23+France!P$25+Poland!P$10+Poland!P$17</f>
        <v>58536</v>
      </c>
      <c r="R31" s="3"/>
    </row>
    <row r="32" spans="1:102" ht="13.5" thickBot="1" x14ac:dyDescent="0.25">
      <c r="A32" s="55" t="s">
        <v>92</v>
      </c>
      <c r="B32" s="94">
        <f t="shared" si="0"/>
        <v>-0.22960677759693596</v>
      </c>
      <c r="C32" s="171">
        <f>E32-'[1]EU - variety'!E32</f>
        <v>-671566.33183025266</v>
      </c>
      <c r="D32" s="42">
        <f>F32-'[1]EU - variety'!F32</f>
        <v>-786280.40999999875</v>
      </c>
      <c r="E32" s="118">
        <f t="shared" ref="E32:J32" si="1">SUM(E2:E31)</f>
        <v>1770078.1481697478</v>
      </c>
      <c r="F32" s="42">
        <f t="shared" si="1"/>
        <v>2297629.4400000004</v>
      </c>
      <c r="G32" s="42">
        <f t="shared" si="1"/>
        <v>1173703</v>
      </c>
      <c r="H32" s="106">
        <f t="shared" si="1"/>
        <v>2067522.181893107</v>
      </c>
      <c r="I32" s="106">
        <f t="shared" si="1"/>
        <v>2164750.7412880901</v>
      </c>
      <c r="J32" s="106">
        <f t="shared" si="1"/>
        <v>2109759.9948823964</v>
      </c>
      <c r="K32" s="106">
        <f t="shared" ref="K32:P32" si="2">SUM(K2:K31)</f>
        <v>1978916.2619515972</v>
      </c>
      <c r="L32" s="106">
        <f t="shared" si="2"/>
        <v>1520801.1980709115</v>
      </c>
      <c r="M32" s="106">
        <f t="shared" si="2"/>
        <v>1899330.3485178344</v>
      </c>
      <c r="N32" s="106">
        <f t="shared" si="2"/>
        <v>1454747.2551453433</v>
      </c>
      <c r="O32" s="106">
        <f t="shared" si="2"/>
        <v>1736189.0092790702</v>
      </c>
      <c r="P32" s="111">
        <f t="shared" si="2"/>
        <v>1439122.6228119342</v>
      </c>
    </row>
    <row r="33" spans="1:16" x14ac:dyDescent="0.2">
      <c r="A33" s="65" t="s">
        <v>148</v>
      </c>
      <c r="H33" s="9"/>
    </row>
    <row r="34" spans="1:16" ht="13.5" thickBot="1" x14ac:dyDescent="0.25">
      <c r="B34" s="3"/>
      <c r="C34" s="3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</row>
    <row r="35" spans="1:16" s="65" customFormat="1" ht="13.5" thickBot="1" x14ac:dyDescent="0.25">
      <c r="A35" s="64" t="s">
        <v>91</v>
      </c>
      <c r="B35" s="32" t="s">
        <v>174</v>
      </c>
      <c r="C35" s="62" t="s">
        <v>173</v>
      </c>
      <c r="D35" s="96" t="s">
        <v>168</v>
      </c>
      <c r="E35" s="128">
        <v>43922</v>
      </c>
      <c r="F35" s="136">
        <v>43556</v>
      </c>
      <c r="G35" s="136">
        <v>43191</v>
      </c>
      <c r="H35" s="33">
        <v>42826</v>
      </c>
      <c r="I35" s="33">
        <v>42461</v>
      </c>
      <c r="J35" s="33">
        <v>42095</v>
      </c>
      <c r="K35" s="33">
        <v>41730</v>
      </c>
      <c r="L35" s="33">
        <v>41365</v>
      </c>
      <c r="M35" s="33">
        <v>41000</v>
      </c>
      <c r="N35" s="33">
        <v>40634</v>
      </c>
      <c r="O35" s="33">
        <v>40269</v>
      </c>
      <c r="P35" s="50">
        <v>39904</v>
      </c>
    </row>
    <row r="36" spans="1:16" s="65" customFormat="1" x14ac:dyDescent="0.2">
      <c r="A36" s="112" t="s">
        <v>103</v>
      </c>
      <c r="B36" s="113">
        <f t="shared" ref="B36:B44" si="3">(E36-F36)/F36</f>
        <v>-1</v>
      </c>
      <c r="C36" s="145">
        <f>E36-'[1]EU - variety'!E36</f>
        <v>0</v>
      </c>
      <c r="D36" s="114">
        <f>F36-'[1]EU - variety'!F36</f>
        <v>-37142.085761429553</v>
      </c>
      <c r="E36" s="132">
        <f>[1]Italy!E$24</f>
        <v>0</v>
      </c>
      <c r="F36" s="114">
        <f>Italy!F$24</f>
        <v>26829.819830192278</v>
      </c>
      <c r="G36" s="114">
        <f>Italy!G$24</f>
        <v>34021.795290985603</v>
      </c>
      <c r="H36" s="84">
        <f>Italy!H$24</f>
        <v>20538.413424085287</v>
      </c>
      <c r="I36" s="114">
        <f>Italy!I$24</f>
        <v>25154.208800925109</v>
      </c>
      <c r="J36" s="114">
        <f>Italy!J$24</f>
        <v>17792</v>
      </c>
      <c r="K36" s="114">
        <f>Italy!K$24</f>
        <v>26651</v>
      </c>
      <c r="L36" s="114">
        <f>Italy!L$24</f>
        <v>2711.7173071990696</v>
      </c>
      <c r="M36" s="114">
        <f>Italy!M$24</f>
        <v>28065.939289488546</v>
      </c>
      <c r="N36" s="114">
        <f>Italy!N$24</f>
        <v>6928</v>
      </c>
      <c r="O36" s="114">
        <f>Italy!O$24</f>
        <v>3959</v>
      </c>
      <c r="P36" s="115">
        <f>Italy!P$24</f>
        <v>3252</v>
      </c>
    </row>
    <row r="37" spans="1:16" s="65" customFormat="1" x14ac:dyDescent="0.2">
      <c r="A37" s="66" t="s">
        <v>38</v>
      </c>
      <c r="B37" s="67">
        <f t="shared" si="3"/>
        <v>0.4124489754916168</v>
      </c>
      <c r="C37" s="145">
        <f>E37-'[1]EU - variety'!E37</f>
        <v>-899.58122699913054</v>
      </c>
      <c r="D37" s="89">
        <f>F37-'[1]EU - variety'!F37</f>
        <v>-599</v>
      </c>
      <c r="E37" s="68">
        <f>Spain!E$12</f>
        <v>864.41877300086946</v>
      </c>
      <c r="F37" s="89">
        <f>Spain!F$12</f>
        <v>612</v>
      </c>
      <c r="G37" s="89">
        <f>Spain!G$12</f>
        <v>916</v>
      </c>
      <c r="H37" s="84">
        <f>Spain!H$12</f>
        <v>985.78212365534273</v>
      </c>
      <c r="I37" s="89">
        <f>Spain!I$12</f>
        <v>372.69344392608912</v>
      </c>
      <c r="J37" s="89">
        <f>Spain!J$12</f>
        <v>585.49610484238758</v>
      </c>
      <c r="K37" s="89">
        <f>Spain!K$12</f>
        <v>2521.9151000761449</v>
      </c>
      <c r="L37" s="89">
        <f>Spain!L$12</f>
        <v>62.54136214165181</v>
      </c>
      <c r="M37" s="89">
        <f>Spain!M$12</f>
        <v>3179.9660753527169</v>
      </c>
      <c r="N37" s="89">
        <f>Spain!N$12</f>
        <v>2263</v>
      </c>
      <c r="O37" s="89">
        <f>Spain!O$12</f>
        <v>1451.426480970579</v>
      </c>
      <c r="P37" s="91">
        <f>Spain!P$12</f>
        <v>894.48632173766396</v>
      </c>
    </row>
    <row r="38" spans="1:16" s="63" customFormat="1" x14ac:dyDescent="0.2">
      <c r="A38" s="66" t="s">
        <v>39</v>
      </c>
      <c r="B38" s="67">
        <f t="shared" si="3"/>
        <v>-0.66191821667393136</v>
      </c>
      <c r="C38" s="145">
        <f>E38-'[1]EU - variety'!E38</f>
        <v>-1226.1508121620086</v>
      </c>
      <c r="D38" s="89">
        <f>F38-'[1]EU - variety'!F38</f>
        <v>-1749</v>
      </c>
      <c r="E38" s="68">
        <f>Spain!E$13</f>
        <v>558.84918783799128</v>
      </c>
      <c r="F38" s="89">
        <f>Spain!F$13</f>
        <v>1653</v>
      </c>
      <c r="G38" s="89">
        <f>Spain!G$13</f>
        <v>3346</v>
      </c>
      <c r="H38" s="84">
        <f>Spain!H$13</f>
        <v>1542.2346504176121</v>
      </c>
      <c r="I38" s="89">
        <f>Spain!I$13</f>
        <v>1859.3620256859326</v>
      </c>
      <c r="J38" s="89">
        <f>Spain!J$13</f>
        <v>4275.0406580721483</v>
      </c>
      <c r="K38" s="89">
        <f>Spain!K$13</f>
        <v>3904.7340513738932</v>
      </c>
      <c r="L38" s="89">
        <f>Spain!L$13</f>
        <v>1873.002115138647</v>
      </c>
      <c r="M38" s="89">
        <f>Spain!M$13</f>
        <v>4672.4939831291604</v>
      </c>
      <c r="N38" s="89">
        <f>Spain!N$13</f>
        <v>7701</v>
      </c>
      <c r="O38" s="89">
        <f>Spain!O$13</f>
        <v>6311.930972154586</v>
      </c>
      <c r="P38" s="91">
        <f>Spain!P$13</f>
        <v>2045.5221628081351</v>
      </c>
    </row>
    <row r="39" spans="1:16" s="63" customFormat="1" x14ac:dyDescent="0.2">
      <c r="A39" s="66" t="s">
        <v>7</v>
      </c>
      <c r="B39" s="67">
        <f t="shared" si="3"/>
        <v>-0.19348834936075993</v>
      </c>
      <c r="C39" s="145">
        <f>E39-'[1]EU - variety'!E39</f>
        <v>-76227.346827573288</v>
      </c>
      <c r="D39" s="89">
        <f>F39-'[1]EU - variety'!F39</f>
        <v>-112414.89293338306</v>
      </c>
      <c r="E39" s="68">
        <f>Belgium!E$15+Denmark!E$24+Italy!E$25+Poland!E$22+Spain!E$14+Switzerland!E$24+Netherlands!E$12+UK!E$16+'Czech Republic'!E$16+France!E$32</f>
        <v>174710.65317242671</v>
      </c>
      <c r="F39" s="89">
        <f>Belgium!F$15+Denmark!F$24+Italy!F$25+Poland!F$22+Spain!F$14+Switzerland!F$24+Netherlands!F$12+UK!F$16+'Czech Republic'!F$16+France!F$32</f>
        <v>216625.08289117867</v>
      </c>
      <c r="G39" s="89">
        <f>Belgium!G$15+Denmark!G$24+Italy!G$25+Poland!G$22+Spain!G$14+Switzerland!G$24+Netherlands!G$12+UK!G$16+'Czech Republic'!G$16+France!G$32</f>
        <v>177857.36084712658</v>
      </c>
      <c r="H39" s="84">
        <f>Belgium!H$15+Denmark!H$24+Italy!H$25+Poland!H$22+Spain!H$14+Switzerland!H$24+Netherlands!H$12+UK!H$16+'Czech Republic'!H$16+France!H$32</f>
        <v>188522.34262618254</v>
      </c>
      <c r="I39" s="89">
        <f>Belgium!I$15+Denmark!I$24+Italy!I$25+Poland!I$22+Spain!I$14+Switzerland!I$24+Netherlands!I$12+UK!I$16+'Czech Republic'!I$16+France!I$32</f>
        <v>243065.3263029822</v>
      </c>
      <c r="J39" s="89">
        <f>Belgium!J$15+Denmark!J$24+Italy!J$25+Poland!J$22+Spain!J$14+Switzerland!J$24+Netherlands!J$12+UK!J$16+'Czech Republic'!J$16+France!J$32</f>
        <v>207081.28978692641</v>
      </c>
      <c r="K39" s="89">
        <f>Belgium!K$15+Denmark!K$24+Italy!K$25+Poland!K$22+Spain!K$14+Switzerland!K$24+Netherlands!K$12+UK!K$16+'Czech Republic'!K$16+France!K$32</f>
        <v>187380.32747931607</v>
      </c>
      <c r="L39" s="89">
        <f>Belgium!L$15+Denmark!L$24+Italy!L$25+Poland!L$22+Spain!L$14+Switzerland!L$24+Netherlands!L$12+UK!L$16+'Czech Republic'!L$16+France!L$32</f>
        <v>106440.24930450571</v>
      </c>
      <c r="M39" s="89">
        <f>Belgium!M$15+Denmark!M$24+Italy!M$25+Poland!M$22+Spain!M$14+Switzerland!M$24+Netherlands!M$12+UK!M$16+'Czech Republic'!M$16+France!M$32</f>
        <v>208956.27582651182</v>
      </c>
      <c r="N39" s="89">
        <f>Belgium!N$15+Denmark!N$24+Italy!N$25+Poland!N$22+Spain!N$14+Switzerland!N$24+Netherlands!N$12+UK!N$16+'Czech Republic'!N$16</f>
        <v>170876</v>
      </c>
      <c r="O39" s="89">
        <f>Belgium!O$15+Denmark!O$24+Italy!O$25+Poland!O$22+Spain!O$14+Switzerland!O$24+Netherlands!O$12+UK!O$16+'Czech Republic'!O$16+France!O$32</f>
        <v>177950.99484409107</v>
      </c>
      <c r="P39" s="91">
        <f>Belgium!P$15+Denmark!P$24+Italy!P$25+Poland!P$22+Spain!P$14+Switzerland!P$24+Netherlands!P$12+UK!P$16+'Czech Republic'!P$16</f>
        <v>95835.782969568871</v>
      </c>
    </row>
    <row r="40" spans="1:16" s="63" customFormat="1" x14ac:dyDescent="0.2">
      <c r="A40" s="66" t="s">
        <v>93</v>
      </c>
      <c r="B40" s="67">
        <f t="shared" si="3"/>
        <v>-0.97137344887983323</v>
      </c>
      <c r="C40" s="145">
        <f>E40-'[1]EU - variety'!E40</f>
        <v>-428</v>
      </c>
      <c r="D40" s="89">
        <f>F40-'[1]EU - variety'!F40</f>
        <v>-4332.1518886040321</v>
      </c>
      <c r="E40" s="68">
        <f>Belgium!E$16+Italy!E$26+Poland!E$23+Netherlands!E$13+UK!E$17+France!E$33+Denmark!E$25</f>
        <v>42</v>
      </c>
      <c r="F40" s="89">
        <f>Belgium!F$16+Italy!F$26+Poland!F$23+Netherlands!F$13+UK!F$17+France!F$33+Denmark!F$25</f>
        <v>1467.1694059020606</v>
      </c>
      <c r="G40" s="89">
        <f>Belgium!G$16+Italy!G$26+Poland!G$23+Netherlands!G$13+UK!G$17+France!G$33+Denmark!G$25</f>
        <v>237.76443915123636</v>
      </c>
      <c r="H40" s="84">
        <f>Belgium!H$16+Italy!H$26+Poland!H$23+Netherlands!H$13+UK!H$17+France!H$33+Denmark!H$25</f>
        <v>199.27906092186419</v>
      </c>
      <c r="I40" s="89">
        <f>Belgium!I$16+Italy!I$26+Poland!I$23+Netherlands!I$13+UK!I$17+France!I$33+Denmark!I$25</f>
        <v>878.0559315953858</v>
      </c>
      <c r="J40" s="89">
        <f>Belgium!J$16+Italy!J$26+Poland!J$23+Netherlands!J$13+UK!J$17+France!J$33+Denmark!J$25</f>
        <v>1341</v>
      </c>
      <c r="K40" s="89">
        <f>Belgium!K$16+Italy!K$26+Poland!K$23+Netherlands!K$13+UK!K$17+France!K$33+Denmark!K$25</f>
        <v>949</v>
      </c>
      <c r="L40" s="89">
        <f>Belgium!L$16+Italy!L$26+Poland!L$23+Netherlands!L$13+UK!L$17+France!L$33</f>
        <v>37.688943287102333</v>
      </c>
      <c r="M40" s="89">
        <f>Belgium!M$16+Italy!M$26+Poland!M$23+Netherlands!M$13+UK!M$17+France!M$33</f>
        <v>5083.4434599084934</v>
      </c>
      <c r="N40" s="89">
        <f>Belgium!N$16+Italy!N$26+Poland!N$23+Netherlands!N$13+UK!N$17</f>
        <v>172</v>
      </c>
      <c r="O40" s="89">
        <f>Belgium!O$16+Italy!O$26+Poland!O$23+Netherlands!O$13+UK!O$17+France!O$33</f>
        <v>4922</v>
      </c>
      <c r="P40" s="91">
        <f>Belgium!P$16+Italy!P$26+Poland!P$23+Netherlands!P$13+UK!P$17</f>
        <v>340</v>
      </c>
    </row>
    <row r="41" spans="1:16" s="63" customFormat="1" x14ac:dyDescent="0.2">
      <c r="A41" s="66" t="s">
        <v>30</v>
      </c>
      <c r="B41" s="67">
        <f t="shared" si="3"/>
        <v>-1</v>
      </c>
      <c r="C41" s="145">
        <f>E41-'[1]EU - variety'!E41</f>
        <v>0</v>
      </c>
      <c r="D41" s="89">
        <f>F41-'[1]EU - variety'!F41</f>
        <v>-5480.2633096098762</v>
      </c>
      <c r="E41" s="68">
        <f>Italy!E$27</f>
        <v>0</v>
      </c>
      <c r="F41" s="89">
        <f>Italy!F$27</f>
        <v>3798.4529218193002</v>
      </c>
      <c r="G41" s="89">
        <f>Italy!G$27</f>
        <v>5314.6478051631402</v>
      </c>
      <c r="H41" s="84">
        <f>Italy!H$27</f>
        <v>2996.1253677626109</v>
      </c>
      <c r="I41" s="89">
        <f>Italy!I$27</f>
        <v>8277.0377277709031</v>
      </c>
      <c r="J41" s="89">
        <f>Italy!J$27</f>
        <v>1006</v>
      </c>
      <c r="K41" s="89">
        <f>Italy!K$27</f>
        <v>11342</v>
      </c>
      <c r="L41" s="89">
        <f>Italy!L$27</f>
        <v>2078.8098475820602</v>
      </c>
      <c r="M41" s="89">
        <f>Italy!M$27</f>
        <v>8397.915270700918</v>
      </c>
      <c r="N41" s="89">
        <f>Italy!N$27</f>
        <v>1777</v>
      </c>
      <c r="O41" s="89">
        <f>Italy!O$27</f>
        <v>9870</v>
      </c>
      <c r="P41" s="91">
        <f>Italy!P$27</f>
        <v>666</v>
      </c>
    </row>
    <row r="42" spans="1:16" s="63" customFormat="1" x14ac:dyDescent="0.2">
      <c r="A42" s="66" t="s">
        <v>147</v>
      </c>
      <c r="B42" s="67">
        <f t="shared" si="3"/>
        <v>-1</v>
      </c>
      <c r="C42" s="145">
        <f>E42-'[1]EU - variety'!E42</f>
        <v>-46875</v>
      </c>
      <c r="D42" s="89">
        <f>F42-'[1]EU - variety'!F42</f>
        <v>-16465</v>
      </c>
      <c r="E42" s="68">
        <f>Portugal!E$13</f>
        <v>0</v>
      </c>
      <c r="F42" s="89">
        <f>Portugal!F$13</f>
        <v>24870</v>
      </c>
      <c r="G42" s="89">
        <f>Portugal!G$13</f>
        <v>0</v>
      </c>
      <c r="H42" s="84">
        <f>Portugal!H$13</f>
        <v>0</v>
      </c>
      <c r="I42" s="89">
        <f>Portugal!I$13</f>
        <v>0</v>
      </c>
      <c r="J42" s="89">
        <f>Portugal!J$13</f>
        <v>0</v>
      </c>
      <c r="K42" s="89">
        <f>Portugal!K$13</f>
        <v>0</v>
      </c>
      <c r="L42" s="89">
        <f>Portugal!L$13</f>
        <v>0</v>
      </c>
      <c r="M42" s="89">
        <f>Portugal!M$13</f>
        <v>0</v>
      </c>
      <c r="N42" s="89">
        <f>Portugal!N$13</f>
        <v>7940</v>
      </c>
      <c r="O42" s="89"/>
      <c r="P42" s="91"/>
    </row>
    <row r="43" spans="1:16" s="63" customFormat="1" ht="13.5" thickBot="1" x14ac:dyDescent="0.25">
      <c r="A43" s="70" t="s">
        <v>6</v>
      </c>
      <c r="B43" s="71">
        <f t="shared" si="3"/>
        <v>-0.37717599961038412</v>
      </c>
      <c r="C43" s="146">
        <f>E43-'[1]EU - variety'!E43</f>
        <v>-6872.0892263731694</v>
      </c>
      <c r="D43" s="90">
        <f>F43-'[1]EU - variety'!F43</f>
        <v>-11473.988072829379</v>
      </c>
      <c r="E43" s="72">
        <f>Belgium!E$18+Denmark!E$26+Germany!E$25+Italy!E$28+Poland!E$24+Spain!E$15+Spain!E$16+Switzerland!E$23+Switzerland!E$25+Switzerland!E$26+Switzerland!E$27+Netherlands!E$14+UK!E$18+'Czech Republic'!E$17+'Czech Republic'!E$18+'Czech Republic'!E$19+'Czech Republic'!E$20+France!E$31+France!E$35+France!E$36+France!E$37+France!E$30</f>
        <v>6414.9107736268306</v>
      </c>
      <c r="F43" s="90">
        <f>Belgium!F$18+Denmark!F$26+Germany!F$25+Italy!F$28+Poland!F$24+Spain!F$15+Spain!F$16+Switzerland!F$23+Switzerland!F$25+Switzerland!F$27+Switzerland!F$26+Netherlands!F$14+UK!F$18+'Czech Republic'!F$17+'Czech Republic'!F$18+'Czech Republic'!F$19+'Czech Republic'!F$20+France!F$31+France!F$35+France!F$36+France!F$37+France!F$30</f>
        <v>10299.716725132457</v>
      </c>
      <c r="G43" s="90">
        <f>Belgium!G$18+Denmark!G$26+Germany!G$25+Italy!G$28+Poland!G$24+Spain!G$15+Spain!G$16+Switzerland!G$23+Switzerland!G$25+Switzerland!G$27+Switzerland!G$26+Netherlands!G$14+UK!G$18+'Czech Republic'!G$17+'Czech Republic'!G$18+'Czech Republic'!G$19+'Czech Republic'!G$20+France!G$31+France!G$35+France!G$36+France!G$37+France!G$30</f>
        <v>3660</v>
      </c>
      <c r="H43" s="84">
        <f>Belgium!H$18+Denmark!H$26+Germany!H$25+Italy!H$28+Poland!H$24+Spain!H$15+Spain!H$16+Switzerland!H$23+Switzerland!H$25+Switzerland!H$27+Switzerland!H$26+Netherlands!H$14+UK!H$18+'Czech Republic'!H$17+'Czech Republic'!H$18+'Czech Republic'!H$19+'Czech Republic'!H$20+France!H$31+France!H$35+France!H$36+France!H$37+France!H$30</f>
        <v>4372.6949393896903</v>
      </c>
      <c r="I43" s="90">
        <f>Belgium!I$18+Denmark!I$26+Germany!I$25+Italy!I$28+Poland!I$24+Spain!I$15+Spain!I$16+Switzerland!I$23+Switzerland!I$25+Switzerland!I$27+Netherlands!I$14+UK!I$18+'Czech Republic'!I$17+'Czech Republic'!I$18+'Czech Republic'!I$19+'Czech Republic'!I$20+France!I$31+France!I$35+France!I$36+France!I$37+France!I$30</f>
        <v>3625.1068843317871</v>
      </c>
      <c r="J43" s="90">
        <f>Belgium!J$18+Denmark!J$26+Germany!J$25+Italy!J$28+Poland!J$24+Spain!J$15+Spain!J$16+Switzerland!J$23+Switzerland!J$25+Switzerland!J$27+Netherlands!J$14+UK!J$18+'Czech Republic'!J$17+'Czech Republic'!J$18+'Czech Republic'!J$19+'Czech Republic'!J$20+France!J$31+France!J$35+France!J$36+France!J$37+France!J$30</f>
        <v>6175.6611415038024</v>
      </c>
      <c r="K43" s="90">
        <f>Belgium!K$18+Denmark!K$26+Germany!K$25+Italy!K$28+Poland!K$24+Spain!K$15+Spain!K$16+Switzerland!K$23+Switzerland!K$25+Switzerland!K$27+Netherlands!K$14+UK!K$18+'Czech Republic'!K$17+'Czech Republic'!K$18+'Czech Republic'!K$19+'Czech Republic'!K$20+France!K$31+France!K$35+France!K$36+France!K$37+France!K$30</f>
        <v>8786.0310100877869</v>
      </c>
      <c r="L43" s="90">
        <f>Belgium!L$18+Denmark!L$26+Germany!L$25+Italy!L$28+Poland!L$24+Spain!L$15+Spain!L$16+Switzerland!L$23+Switzerland!L$25+Switzerland!L$27+Netherlands!L$14+UK!L$18+'Czech Republic'!L$17+'Czech Republic'!L$20+France!L$30+France!L$31+France!L$34+France!L$35+France!L$36+France!L$37</f>
        <v>552.12830671637698</v>
      </c>
      <c r="M43" s="90">
        <f>Belgium!M$18+Denmark!M$26+Germany!M$25+Italy!M$28+Poland!M$24+Spain!M$15+Spain!M$16+Switzerland!M$23+Switzerland!M$25+Switzerland!M$27+Netherlands!M$14+UK!M$18+'Czech Republic'!M$17+'Czech Republic'!M$20+France!M$30+France!M$31+France!M$34+France!M$35+France!M$36+France!M$37</f>
        <v>6676.1442919588608</v>
      </c>
      <c r="N43" s="90">
        <f>Belgium!N$18+Denmark!N$26+Germany!N$25+Italy!N$28+Poland!N$24+Spain!N$15+Spain!N$16+Switzerland!N$23+Switzerland!N$25+Switzerland!N$27+Netherlands!N$14+UK!N$18+'Czech Republic'!N$17+'Czech Republic'!N$20</f>
        <v>1305</v>
      </c>
      <c r="O43" s="90">
        <f>Belgium!O$18+Denmark!O$26+Germany!O$25+Italy!O$28+Poland!O$24+Spain!O$15+Spain!O$16+Switzerland!O$23+Switzerland!O$25+Switzerland!O$27+Netherlands!O$14+UK!O$18+'Czech Republic'!O$17+'Czech Republic'!O$20+France!O$30+France!O$31+France!O$34+France!O$35+France!O$36+France!O$37</f>
        <v>3976.4966621281746</v>
      </c>
      <c r="P43" s="92">
        <f>Belgium!P$18+Denmark!P$26+Germany!P$25+Italy!P$28+Poland!P$24+Spain!P$15+Spain!P$16+Switzerland!P$23+Switzerland!P$25+Switzerland!P$27+Netherlands!P$14+UK!P$18+'Czech Republic'!P$17+'Czech Republic'!P$20</f>
        <v>927.98003496166564</v>
      </c>
    </row>
    <row r="44" spans="1:16" s="63" customFormat="1" ht="13.5" thickBot="1" x14ac:dyDescent="0.25">
      <c r="A44" s="74" t="s">
        <v>92</v>
      </c>
      <c r="B44" s="109">
        <f t="shared" si="3"/>
        <v>-0.36191687150377017</v>
      </c>
      <c r="C44" s="171">
        <f>E44-'[1]EU - variety'!E44</f>
        <v>-132528.16809310761</v>
      </c>
      <c r="D44" s="119">
        <f>F44-'[1]EU - variety'!F44</f>
        <v>-189656.38196585584</v>
      </c>
      <c r="E44" s="133">
        <f t="shared" ref="E44:J44" si="4">SUM(E36:E43)</f>
        <v>182590.83190689239</v>
      </c>
      <c r="F44" s="119">
        <f t="shared" si="4"/>
        <v>286155.24177422479</v>
      </c>
      <c r="G44" s="119">
        <f t="shared" si="4"/>
        <v>225353.56838242657</v>
      </c>
      <c r="H44" s="102">
        <f t="shared" si="4"/>
        <v>219156.87219241494</v>
      </c>
      <c r="I44" s="102">
        <f t="shared" si="4"/>
        <v>283231.79111721745</v>
      </c>
      <c r="J44" s="102">
        <f t="shared" si="4"/>
        <v>238256.48769134475</v>
      </c>
      <c r="K44" s="102">
        <f t="shared" ref="K44:P44" si="5">SUM(K36:K43)</f>
        <v>241535.0076408539</v>
      </c>
      <c r="L44" s="102">
        <f t="shared" si="5"/>
        <v>113756.1371865706</v>
      </c>
      <c r="M44" s="102">
        <f t="shared" si="5"/>
        <v>265032.17819705053</v>
      </c>
      <c r="N44" s="102">
        <f t="shared" si="5"/>
        <v>198962</v>
      </c>
      <c r="O44" s="102">
        <f t="shared" si="5"/>
        <v>208441.84895934441</v>
      </c>
      <c r="P44" s="116">
        <f t="shared" si="5"/>
        <v>103961.77148907635</v>
      </c>
    </row>
    <row r="45" spans="1:16" x14ac:dyDescent="0.2">
      <c r="A45" s="3"/>
      <c r="I45"/>
      <c r="J45"/>
      <c r="K45"/>
      <c r="L45"/>
      <c r="M45"/>
      <c r="N45"/>
      <c r="O45"/>
      <c r="P45"/>
    </row>
    <row r="46" spans="1:16" s="63" customFormat="1" x14ac:dyDescent="0.2">
      <c r="A46" s="65"/>
      <c r="D46" s="108"/>
      <c r="E46" s="108"/>
      <c r="F46" s="108"/>
      <c r="G46" s="108"/>
      <c r="I46" s="108"/>
      <c r="J46" s="108"/>
      <c r="K46" s="108"/>
      <c r="L46" s="108"/>
      <c r="M46" s="108"/>
      <c r="N46" s="108"/>
      <c r="O46" s="108"/>
      <c r="P46" s="108"/>
    </row>
    <row r="47" spans="1:16" s="63" customFormat="1" x14ac:dyDescent="0.2">
      <c r="D47" s="108"/>
      <c r="E47" s="108"/>
      <c r="F47" s="108"/>
      <c r="G47" s="108"/>
      <c r="I47" s="108"/>
      <c r="J47" s="108"/>
      <c r="K47" s="108"/>
      <c r="L47" s="108"/>
      <c r="M47" s="108"/>
      <c r="N47" s="108"/>
      <c r="O47" s="108"/>
      <c r="P47" s="108"/>
    </row>
  </sheetData>
  <phoneticPr fontId="2" type="noConversion"/>
  <pageMargins left="0.75" right="0.75" top="1" bottom="1" header="0.5" footer="0.5"/>
  <pageSetup paperSize="9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zoomScale="83" zoomScaleNormal="83" workbookViewId="0">
      <selection activeCell="E25" sqref="E25"/>
    </sheetView>
  </sheetViews>
  <sheetFormatPr defaultRowHeight="12.75" x14ac:dyDescent="0.2"/>
  <cols>
    <col min="1" max="1" width="29.28515625" customWidth="1"/>
    <col min="2" max="2" width="10.7109375" customWidth="1"/>
    <col min="3" max="4" width="11.5703125" bestFit="1" customWidth="1"/>
    <col min="5" max="5" width="11.5703125" customWidth="1"/>
    <col min="6" max="6" width="11.5703125" style="9" customWidth="1"/>
    <col min="7" max="7" width="12.28515625" style="9" customWidth="1"/>
    <col min="8" max="8" width="10.7109375" customWidth="1"/>
    <col min="9" max="16" width="10.140625" style="12" bestFit="1" customWidth="1"/>
    <col min="17" max="18" width="10.140625" bestFit="1" customWidth="1"/>
  </cols>
  <sheetData>
    <row r="1" spans="1:18" s="16" customFormat="1" ht="13.5" thickBot="1" x14ac:dyDescent="0.25">
      <c r="A1" s="31" t="s">
        <v>24</v>
      </c>
      <c r="B1" s="32" t="s">
        <v>174</v>
      </c>
      <c r="C1" s="62" t="s">
        <v>173</v>
      </c>
      <c r="D1" s="96" t="s">
        <v>168</v>
      </c>
      <c r="E1" s="128">
        <v>43922</v>
      </c>
      <c r="F1" s="136">
        <v>43556</v>
      </c>
      <c r="G1" s="136">
        <v>43191</v>
      </c>
      <c r="H1" s="33">
        <v>42826</v>
      </c>
      <c r="I1" s="33">
        <v>42461</v>
      </c>
      <c r="J1" s="33">
        <v>42095</v>
      </c>
      <c r="K1" s="33">
        <v>41730</v>
      </c>
      <c r="L1" s="33">
        <v>41365</v>
      </c>
      <c r="M1" s="33">
        <v>41000</v>
      </c>
      <c r="N1" s="33">
        <v>40634</v>
      </c>
      <c r="O1" s="33">
        <v>40269</v>
      </c>
      <c r="P1" s="33">
        <v>39904</v>
      </c>
      <c r="Q1" s="33">
        <v>39539</v>
      </c>
      <c r="R1" s="34">
        <v>39173</v>
      </c>
    </row>
    <row r="2" spans="1:18" x14ac:dyDescent="0.2">
      <c r="A2" s="27" t="s">
        <v>94</v>
      </c>
      <c r="B2" s="35">
        <f>(E2-F2)/F2</f>
        <v>-0.22976564387533222</v>
      </c>
      <c r="C2" s="148">
        <f>E2-[1]Austria!E2</f>
        <v>-113.32</v>
      </c>
      <c r="D2" s="13">
        <f>F2-[1]Austria!F2</f>
        <v>-166.46999999999997</v>
      </c>
      <c r="E2" s="125">
        <v>382.56</v>
      </c>
      <c r="F2" s="13">
        <v>496.68</v>
      </c>
      <c r="G2" s="13">
        <v>23</v>
      </c>
      <c r="H2" s="13"/>
      <c r="I2" s="13">
        <v>639</v>
      </c>
      <c r="J2" s="13">
        <v>934.8</v>
      </c>
      <c r="K2" s="13">
        <v>1180</v>
      </c>
      <c r="L2" s="13">
        <v>867.18</v>
      </c>
      <c r="M2" s="13">
        <v>1530</v>
      </c>
      <c r="N2" s="13">
        <v>1450</v>
      </c>
      <c r="O2" s="13">
        <v>1666</v>
      </c>
      <c r="P2" s="13">
        <v>2979</v>
      </c>
      <c r="Q2" s="13">
        <v>2094</v>
      </c>
      <c r="R2" s="37">
        <v>1828</v>
      </c>
    </row>
    <row r="3" spans="1:18" x14ac:dyDescent="0.2">
      <c r="A3" s="27" t="s">
        <v>4</v>
      </c>
      <c r="B3" s="35"/>
      <c r="C3" s="144">
        <f>E3-[1]Austria!E3</f>
        <v>0</v>
      </c>
      <c r="D3" s="13">
        <f>F3-[1]Austria!F3</f>
        <v>0</v>
      </c>
      <c r="E3" s="125">
        <v>0</v>
      </c>
      <c r="F3" s="13">
        <v>0</v>
      </c>
      <c r="G3" s="13">
        <v>0</v>
      </c>
      <c r="H3" s="13"/>
      <c r="I3" s="13">
        <v>0</v>
      </c>
      <c r="J3" s="13">
        <v>0</v>
      </c>
      <c r="K3" s="13">
        <v>0</v>
      </c>
      <c r="L3" s="13">
        <v>0</v>
      </c>
      <c r="M3" s="13">
        <v>3</v>
      </c>
      <c r="N3" s="13">
        <v>0</v>
      </c>
      <c r="O3" s="13">
        <v>0</v>
      </c>
      <c r="P3" s="13">
        <v>4</v>
      </c>
      <c r="Q3" s="13">
        <v>0</v>
      </c>
      <c r="R3" s="37">
        <v>0</v>
      </c>
    </row>
    <row r="4" spans="1:18" x14ac:dyDescent="0.2">
      <c r="A4" s="27" t="s">
        <v>11</v>
      </c>
      <c r="B4" s="35">
        <f t="shared" ref="B4:B21" si="0">(E4-F4)/F4</f>
        <v>-0.50744393521611886</v>
      </c>
      <c r="C4" s="144">
        <f>E4-[1]Austria!E4</f>
        <v>-1942.2799999999997</v>
      </c>
      <c r="D4" s="13">
        <f>F4-[1]Austria!F4</f>
        <v>-1586.369999999999</v>
      </c>
      <c r="E4" s="125">
        <v>4187.16</v>
      </c>
      <c r="F4" s="13">
        <v>8500.880000000001</v>
      </c>
      <c r="G4" s="13">
        <v>1433</v>
      </c>
      <c r="H4" s="13">
        <v>418.02</v>
      </c>
      <c r="I4" s="13">
        <v>5184.04</v>
      </c>
      <c r="J4" s="13">
        <v>3885.78</v>
      </c>
      <c r="K4" s="13">
        <v>6324.02</v>
      </c>
      <c r="L4" s="13">
        <v>2360</v>
      </c>
      <c r="M4" s="13">
        <v>4308</v>
      </c>
      <c r="N4" s="13">
        <v>1818</v>
      </c>
      <c r="O4" s="13">
        <v>6496</v>
      </c>
      <c r="P4" s="13">
        <v>3498</v>
      </c>
      <c r="Q4" s="13">
        <v>1506</v>
      </c>
      <c r="R4" s="37">
        <v>1023</v>
      </c>
    </row>
    <row r="5" spans="1:18" x14ac:dyDescent="0.2">
      <c r="A5" s="27" t="s">
        <v>2</v>
      </c>
      <c r="B5" s="35">
        <f t="shared" si="0"/>
        <v>-0.89402209226770624</v>
      </c>
      <c r="C5" s="144">
        <f>E5-[1]Austria!E5</f>
        <v>-638.68000000000006</v>
      </c>
      <c r="D5" s="13">
        <f>F5-[1]Austria!F5</f>
        <v>-658.34999999999991</v>
      </c>
      <c r="E5" s="125">
        <v>260.95999999999998</v>
      </c>
      <c r="F5" s="13">
        <v>2462.4</v>
      </c>
      <c r="G5" s="13">
        <v>0</v>
      </c>
      <c r="H5" s="13"/>
      <c r="I5" s="13">
        <v>676.26</v>
      </c>
      <c r="J5" s="13">
        <v>859.86</v>
      </c>
      <c r="K5" s="13">
        <v>883.3</v>
      </c>
      <c r="L5" s="13">
        <v>236.64</v>
      </c>
      <c r="M5" s="13">
        <v>1443</v>
      </c>
      <c r="N5" s="13">
        <v>1252</v>
      </c>
      <c r="O5" s="13">
        <v>1234</v>
      </c>
      <c r="P5" s="13">
        <v>827</v>
      </c>
      <c r="Q5" s="13">
        <v>1400</v>
      </c>
      <c r="R5" s="37">
        <v>2159</v>
      </c>
    </row>
    <row r="6" spans="1:18" x14ac:dyDescent="0.2">
      <c r="A6" s="27" t="s">
        <v>153</v>
      </c>
      <c r="B6" s="35">
        <f t="shared" si="0"/>
        <v>-0.45931140299616713</v>
      </c>
      <c r="C6" s="144">
        <f>E6-[1]Austria!E6</f>
        <v>-2316.6</v>
      </c>
      <c r="D6" s="13">
        <f>F6-[1]Austria!F6</f>
        <v>-992.19000000000051</v>
      </c>
      <c r="E6" s="125">
        <v>3608.48</v>
      </c>
      <c r="F6" s="13">
        <v>6673.86</v>
      </c>
      <c r="G6" s="13">
        <v>2416</v>
      </c>
      <c r="H6" s="13">
        <v>1389.24</v>
      </c>
      <c r="I6" s="13">
        <v>4456.38</v>
      </c>
      <c r="J6" s="13">
        <v>3906.6</v>
      </c>
      <c r="K6" s="13">
        <v>2486.7600000000002</v>
      </c>
      <c r="L6" s="13">
        <v>1482.06</v>
      </c>
      <c r="M6" s="13">
        <v>1441</v>
      </c>
      <c r="N6" s="13"/>
      <c r="O6" s="13"/>
      <c r="P6" s="13"/>
      <c r="Q6" s="13"/>
      <c r="R6" s="37"/>
    </row>
    <row r="7" spans="1:18" x14ac:dyDescent="0.2">
      <c r="A7" s="29" t="s">
        <v>12</v>
      </c>
      <c r="B7" s="35">
        <f t="shared" si="0"/>
        <v>-0.42301783447999469</v>
      </c>
      <c r="C7" s="144">
        <f>E7-[1]Austria!E7</f>
        <v>-332.56000000000017</v>
      </c>
      <c r="D7" s="13">
        <f>F7-[1]Austria!F7</f>
        <v>-204.94000000000005</v>
      </c>
      <c r="E7" s="125">
        <v>1382.08</v>
      </c>
      <c r="F7" s="13">
        <v>2395.36</v>
      </c>
      <c r="G7" s="13">
        <v>666</v>
      </c>
      <c r="H7" s="97">
        <v>44.88</v>
      </c>
      <c r="I7" s="97">
        <v>1757.46</v>
      </c>
      <c r="J7" s="97">
        <v>1504.28</v>
      </c>
      <c r="K7" s="97">
        <v>1584.06</v>
      </c>
      <c r="L7" s="97">
        <v>778.02</v>
      </c>
      <c r="M7" s="97">
        <v>1987</v>
      </c>
      <c r="N7" s="97">
        <v>205</v>
      </c>
      <c r="O7" s="97">
        <v>1461</v>
      </c>
      <c r="P7" s="97">
        <v>931</v>
      </c>
      <c r="Q7" s="13">
        <v>1210</v>
      </c>
      <c r="R7" s="37">
        <v>337</v>
      </c>
    </row>
    <row r="8" spans="1:18" x14ac:dyDescent="0.2">
      <c r="A8" s="27" t="s">
        <v>9</v>
      </c>
      <c r="B8" s="35">
        <f t="shared" si="0"/>
        <v>-0.40337540008418649</v>
      </c>
      <c r="C8" s="144">
        <f>E8-[1]Austria!E8</f>
        <v>-4576.16</v>
      </c>
      <c r="D8" s="13">
        <f>F8-[1]Austria!F8</f>
        <v>-3937.1000000000004</v>
      </c>
      <c r="E8" s="125">
        <v>7512.16</v>
      </c>
      <c r="F8" s="13">
        <v>12591.1</v>
      </c>
      <c r="G8" s="84">
        <f>4098+480</f>
        <v>4578</v>
      </c>
      <c r="H8" s="13">
        <v>157.82</v>
      </c>
      <c r="I8" s="13">
        <v>10852.96</v>
      </c>
      <c r="J8" s="13">
        <v>8816.02</v>
      </c>
      <c r="K8" s="13">
        <v>11994.02</v>
      </c>
      <c r="L8" s="13">
        <v>4280.66</v>
      </c>
      <c r="M8" s="13">
        <v>8823</v>
      </c>
      <c r="N8" s="13">
        <v>12415</v>
      </c>
      <c r="O8" s="13">
        <v>7839</v>
      </c>
      <c r="P8" s="13">
        <v>10653</v>
      </c>
      <c r="Q8" s="13">
        <v>3148</v>
      </c>
      <c r="R8" s="37">
        <v>3148</v>
      </c>
    </row>
    <row r="9" spans="1:18" x14ac:dyDescent="0.2">
      <c r="A9" s="27" t="s">
        <v>14</v>
      </c>
      <c r="B9" s="35"/>
      <c r="C9" s="144">
        <f>E9-[1]Austria!E9</f>
        <v>0</v>
      </c>
      <c r="D9" s="13">
        <f>F9-[1]Austria!F9</f>
        <v>0</v>
      </c>
      <c r="E9" s="125">
        <v>0</v>
      </c>
      <c r="F9" s="13"/>
      <c r="G9" s="13"/>
      <c r="H9" s="13"/>
      <c r="I9" s="13"/>
      <c r="J9" s="13"/>
      <c r="K9" s="13"/>
      <c r="L9" s="13">
        <v>0</v>
      </c>
      <c r="M9" s="13">
        <v>0</v>
      </c>
      <c r="N9" s="13">
        <v>0</v>
      </c>
      <c r="O9" s="13">
        <v>169</v>
      </c>
      <c r="P9" s="13">
        <v>10</v>
      </c>
      <c r="Q9" s="13">
        <v>0</v>
      </c>
      <c r="R9" s="37">
        <v>57</v>
      </c>
    </row>
    <row r="10" spans="1:18" x14ac:dyDescent="0.2">
      <c r="A10" s="27" t="s">
        <v>3</v>
      </c>
      <c r="B10" s="35">
        <f>(E10-F10)/F10</f>
        <v>-0.12527758316285062</v>
      </c>
      <c r="C10" s="144">
        <f>E10-[1]Austria!E10</f>
        <v>-4134.3600000000006</v>
      </c>
      <c r="D10" s="13">
        <f>F10-[1]Austria!F10</f>
        <v>-2818.5999999999985</v>
      </c>
      <c r="E10" s="125">
        <v>15606.36</v>
      </c>
      <c r="F10" s="13">
        <v>17841.5</v>
      </c>
      <c r="G10" s="13">
        <f>13557+354</f>
        <v>13911</v>
      </c>
      <c r="H10" s="13">
        <v>11151.02</v>
      </c>
      <c r="I10" s="13">
        <v>27979.119999999999</v>
      </c>
      <c r="J10" s="13">
        <v>36393.879999999997</v>
      </c>
      <c r="K10" s="13">
        <v>22835.42</v>
      </c>
      <c r="L10" s="13">
        <v>28179.200000000001</v>
      </c>
      <c r="M10" s="13">
        <v>37219</v>
      </c>
      <c r="N10" s="13">
        <v>30242</v>
      </c>
      <c r="O10" s="13">
        <v>31009</v>
      </c>
      <c r="P10" s="13">
        <v>34408</v>
      </c>
      <c r="Q10" s="13">
        <v>29897</v>
      </c>
      <c r="R10" s="37">
        <v>25215</v>
      </c>
    </row>
    <row r="11" spans="1:18" x14ac:dyDescent="0.2">
      <c r="A11" s="27" t="s">
        <v>17</v>
      </c>
      <c r="B11" s="35">
        <f t="shared" si="0"/>
        <v>0.50131233595800517</v>
      </c>
      <c r="C11" s="144">
        <f>E11-[1]Austria!E11</f>
        <v>-59.2</v>
      </c>
      <c r="D11" s="13">
        <f>F11-[1]Austria!F11</f>
        <v>-49.71</v>
      </c>
      <c r="E11" s="125">
        <v>22.88</v>
      </c>
      <c r="F11" s="13">
        <v>15.24</v>
      </c>
      <c r="G11" s="13">
        <v>9</v>
      </c>
      <c r="H11" s="97"/>
      <c r="I11" s="97">
        <v>16.32</v>
      </c>
      <c r="J11" s="97">
        <v>264.18</v>
      </c>
      <c r="K11" s="97">
        <v>16.32</v>
      </c>
      <c r="L11" s="97">
        <v>8.16</v>
      </c>
      <c r="M11" s="97">
        <v>16</v>
      </c>
      <c r="N11" s="97">
        <v>35</v>
      </c>
      <c r="O11" s="97">
        <v>10</v>
      </c>
      <c r="P11" s="97">
        <v>0</v>
      </c>
      <c r="Q11" s="13">
        <v>0</v>
      </c>
      <c r="R11" s="37">
        <v>0</v>
      </c>
    </row>
    <row r="12" spans="1:18" x14ac:dyDescent="0.2">
      <c r="A12" s="28" t="s">
        <v>10</v>
      </c>
      <c r="B12" s="35">
        <f t="shared" si="0"/>
        <v>-0.45876613404061173</v>
      </c>
      <c r="C12" s="144">
        <f>E12-[1]Austria!E12</f>
        <v>-462.48000000000047</v>
      </c>
      <c r="D12" s="13">
        <f>F12-[1]Austria!F12</f>
        <v>-714.06999999999971</v>
      </c>
      <c r="E12" s="125">
        <v>4828.12</v>
      </c>
      <c r="F12" s="13">
        <v>8920.58</v>
      </c>
      <c r="G12" s="13">
        <f>1929+151</f>
        <v>2080</v>
      </c>
      <c r="H12" s="97">
        <v>155.66</v>
      </c>
      <c r="I12" s="97">
        <v>13207.92</v>
      </c>
      <c r="J12" s="97">
        <v>8894.98</v>
      </c>
      <c r="K12" s="97">
        <v>16406.8</v>
      </c>
      <c r="L12" s="97">
        <v>10383.26</v>
      </c>
      <c r="M12" s="97">
        <v>15814</v>
      </c>
      <c r="N12" s="97">
        <v>16080</v>
      </c>
      <c r="O12" s="97">
        <v>16891</v>
      </c>
      <c r="P12" s="97">
        <v>15028</v>
      </c>
      <c r="Q12" s="13">
        <v>12705</v>
      </c>
      <c r="R12" s="37">
        <v>15116</v>
      </c>
    </row>
    <row r="13" spans="1:18" x14ac:dyDescent="0.2">
      <c r="A13" s="28" t="s">
        <v>27</v>
      </c>
      <c r="B13" s="35">
        <f t="shared" si="0"/>
        <v>-0.4801174357733311</v>
      </c>
      <c r="C13" s="144">
        <f>E13-[1]Austria!E13</f>
        <v>-723.7199999999998</v>
      </c>
      <c r="D13" s="13">
        <f>F13-[1]Austria!F13</f>
        <v>-652.92000000000007</v>
      </c>
      <c r="E13" s="125">
        <v>3265.32</v>
      </c>
      <c r="F13" s="13">
        <v>6280.88</v>
      </c>
      <c r="G13" s="13">
        <f>1097+147</f>
        <v>1244</v>
      </c>
      <c r="H13" s="97">
        <v>269.98</v>
      </c>
      <c r="I13" s="97">
        <v>5689.24</v>
      </c>
      <c r="J13" s="97">
        <v>6023.06</v>
      </c>
      <c r="K13" s="97">
        <v>5921.68</v>
      </c>
      <c r="L13" s="97">
        <v>4500.24</v>
      </c>
      <c r="M13" s="97">
        <v>6774</v>
      </c>
      <c r="N13" s="97">
        <v>6828</v>
      </c>
      <c r="O13" s="97">
        <v>7705</v>
      </c>
      <c r="P13" s="97">
        <v>5666</v>
      </c>
      <c r="Q13" s="13">
        <v>5694</v>
      </c>
      <c r="R13" s="37">
        <v>6544</v>
      </c>
    </row>
    <row r="14" spans="1:18" x14ac:dyDescent="0.2">
      <c r="A14" s="29" t="s">
        <v>26</v>
      </c>
      <c r="B14" s="35"/>
      <c r="C14" s="144">
        <f>E14-[1]Austria!E14</f>
        <v>8</v>
      </c>
      <c r="D14" s="13">
        <f>F14-[1]Austria!F14</f>
        <v>0</v>
      </c>
      <c r="E14" s="125">
        <v>8</v>
      </c>
      <c r="F14" s="13"/>
      <c r="G14" s="13">
        <v>0</v>
      </c>
      <c r="H14" s="97"/>
      <c r="I14" s="97">
        <v>2238.9</v>
      </c>
      <c r="J14" s="97">
        <v>1465.74</v>
      </c>
      <c r="K14" s="97">
        <v>2714.22</v>
      </c>
      <c r="L14" s="97">
        <v>2023.68</v>
      </c>
      <c r="M14" s="97">
        <v>3527</v>
      </c>
      <c r="N14" s="97">
        <v>3849</v>
      </c>
      <c r="O14" s="97">
        <v>4252</v>
      </c>
      <c r="P14" s="97">
        <v>3390</v>
      </c>
      <c r="Q14" s="13">
        <v>4186</v>
      </c>
      <c r="R14" s="37">
        <v>3654</v>
      </c>
    </row>
    <row r="15" spans="1:18" x14ac:dyDescent="0.2">
      <c r="A15" s="29" t="s">
        <v>95</v>
      </c>
      <c r="B15" s="35"/>
      <c r="C15" s="144">
        <f>E15-[1]Austria!E15</f>
        <v>0</v>
      </c>
      <c r="D15" s="13">
        <f>F15-[1]Austria!F15</f>
        <v>-4.0999999999999996</v>
      </c>
      <c r="E15" s="125">
        <v>0</v>
      </c>
      <c r="F15" s="13"/>
      <c r="G15" s="13">
        <v>0</v>
      </c>
      <c r="H15" s="97"/>
      <c r="I15" s="97">
        <v>0</v>
      </c>
      <c r="J15" s="97">
        <v>0</v>
      </c>
      <c r="K15" s="97">
        <v>0</v>
      </c>
      <c r="L15" s="97">
        <v>0</v>
      </c>
      <c r="M15" s="97">
        <v>15</v>
      </c>
      <c r="N15" s="97">
        <v>0</v>
      </c>
      <c r="O15" s="97">
        <v>0</v>
      </c>
      <c r="P15" s="97">
        <v>0</v>
      </c>
      <c r="Q15" s="13">
        <v>7</v>
      </c>
      <c r="R15" s="37">
        <v>10</v>
      </c>
    </row>
    <row r="16" spans="1:18" x14ac:dyDescent="0.2">
      <c r="A16" s="29" t="s">
        <v>13</v>
      </c>
      <c r="B16" s="35">
        <f t="shared" si="0"/>
        <v>-0.3322237499095449</v>
      </c>
      <c r="C16" s="144">
        <f>E16-[1]Austria!E16</f>
        <v>-239.56000000000006</v>
      </c>
      <c r="D16" s="13">
        <f>F16-[1]Austria!F16</f>
        <v>-498.65999999999997</v>
      </c>
      <c r="E16" s="125">
        <v>553.67999999999995</v>
      </c>
      <c r="F16" s="13">
        <v>829.14</v>
      </c>
      <c r="G16" s="13">
        <v>405</v>
      </c>
      <c r="H16" s="97">
        <v>60.18</v>
      </c>
      <c r="I16" s="97">
        <v>949.06</v>
      </c>
      <c r="J16" s="97">
        <v>626.14</v>
      </c>
      <c r="K16" s="97">
        <v>1220.06</v>
      </c>
      <c r="L16" s="97">
        <v>862.92</v>
      </c>
      <c r="M16" s="97">
        <v>1218</v>
      </c>
      <c r="N16" s="97">
        <v>1388</v>
      </c>
      <c r="O16" s="97">
        <v>1279</v>
      </c>
      <c r="P16" s="97">
        <v>1522</v>
      </c>
      <c r="Q16" s="13">
        <v>636</v>
      </c>
      <c r="R16" s="37">
        <v>737</v>
      </c>
    </row>
    <row r="17" spans="1:19" x14ac:dyDescent="0.2">
      <c r="A17" s="82" t="s">
        <v>133</v>
      </c>
      <c r="B17" s="35">
        <f t="shared" si="0"/>
        <v>9.5096102957311898E-2</v>
      </c>
      <c r="C17" s="144">
        <f>E17-[1]Austria!E17</f>
        <v>-121.96000000000004</v>
      </c>
      <c r="D17" s="13">
        <f>F17-[1]Austria!F17</f>
        <v>-38.2199999999998</v>
      </c>
      <c r="E17" s="125">
        <v>1696.72</v>
      </c>
      <c r="F17" s="13">
        <v>1549.38</v>
      </c>
      <c r="G17" s="13">
        <v>322</v>
      </c>
      <c r="H17" s="97"/>
      <c r="I17" s="97"/>
      <c r="J17" s="97"/>
      <c r="K17" s="97"/>
      <c r="L17" s="97"/>
      <c r="M17" s="97"/>
      <c r="N17" s="97"/>
      <c r="O17" s="97"/>
      <c r="P17" s="97"/>
      <c r="Q17" s="13"/>
      <c r="R17" s="37"/>
    </row>
    <row r="18" spans="1:19" x14ac:dyDescent="0.2">
      <c r="A18" s="29" t="s">
        <v>115</v>
      </c>
      <c r="B18" s="35">
        <f t="shared" si="0"/>
        <v>-1</v>
      </c>
      <c r="C18" s="144">
        <f>E18-[1]Austria!E18</f>
        <v>0</v>
      </c>
      <c r="D18" s="13">
        <f>F18-[1]Austria!F18</f>
        <v>-10.559999999999999</v>
      </c>
      <c r="E18" s="125">
        <v>0</v>
      </c>
      <c r="F18" s="13">
        <v>2.04</v>
      </c>
      <c r="G18" s="13">
        <v>0</v>
      </c>
      <c r="H18" s="13"/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2</v>
      </c>
      <c r="O18" s="13">
        <v>98</v>
      </c>
      <c r="P18" s="13">
        <v>10</v>
      </c>
      <c r="Q18" s="13">
        <v>49</v>
      </c>
      <c r="R18" s="37">
        <v>15</v>
      </c>
    </row>
    <row r="19" spans="1:19" x14ac:dyDescent="0.2">
      <c r="A19" s="29" t="s">
        <v>96</v>
      </c>
      <c r="B19" s="35">
        <f t="shared" si="0"/>
        <v>-0.84373644382320345</v>
      </c>
      <c r="C19" s="144">
        <f>E19-[1]Austria!E19</f>
        <v>-585.07999999999993</v>
      </c>
      <c r="D19" s="13">
        <f>F19-[1]Austria!F19</f>
        <v>-798.67999999999984</v>
      </c>
      <c r="E19" s="125">
        <v>518.72</v>
      </c>
      <c r="F19" s="13">
        <v>3319.52</v>
      </c>
      <c r="G19" s="13">
        <v>0</v>
      </c>
      <c r="H19" s="13"/>
      <c r="I19" s="13">
        <v>2391.8000000000002</v>
      </c>
      <c r="J19" s="13">
        <v>2222.9</v>
      </c>
      <c r="K19" s="13">
        <v>1999.94</v>
      </c>
      <c r="L19" s="13">
        <v>764.26</v>
      </c>
      <c r="M19" s="13">
        <v>2443</v>
      </c>
      <c r="N19" s="13">
        <v>1669</v>
      </c>
      <c r="O19" s="13">
        <v>2258</v>
      </c>
      <c r="P19" s="13">
        <v>7</v>
      </c>
      <c r="Q19" s="13">
        <v>0</v>
      </c>
      <c r="R19" s="37">
        <v>0</v>
      </c>
    </row>
    <row r="20" spans="1:19" ht="13.5" thickBot="1" x14ac:dyDescent="0.25">
      <c r="A20" s="30" t="s">
        <v>59</v>
      </c>
      <c r="B20" s="36">
        <f t="shared" si="0"/>
        <v>-1.8693307183133018E-2</v>
      </c>
      <c r="C20" s="143">
        <f>E20-[1]Austria!E20</f>
        <v>-161.43999999999983</v>
      </c>
      <c r="D20" s="15">
        <f>F20-[1]Austria!F20</f>
        <v>-427.52</v>
      </c>
      <c r="E20" s="129">
        <v>1280.8800000000001</v>
      </c>
      <c r="F20" s="15">
        <v>1305.28</v>
      </c>
      <c r="G20" s="15">
        <f>56+35</f>
        <v>91</v>
      </c>
      <c r="H20" s="98">
        <v>205</v>
      </c>
      <c r="I20" s="98">
        <v>277.16000000000003</v>
      </c>
      <c r="J20" s="98">
        <v>380</v>
      </c>
      <c r="K20" s="98">
        <v>1465.4</v>
      </c>
      <c r="L20" s="98">
        <v>203.04</v>
      </c>
      <c r="M20" s="98">
        <v>271</v>
      </c>
      <c r="N20" s="98">
        <v>1293</v>
      </c>
      <c r="O20" s="98">
        <v>265</v>
      </c>
      <c r="P20" s="98">
        <v>32</v>
      </c>
      <c r="Q20" s="15">
        <v>100</v>
      </c>
      <c r="R20" s="39">
        <v>184</v>
      </c>
    </row>
    <row r="21" spans="1:19" ht="13.5" thickBot="1" x14ac:dyDescent="0.25">
      <c r="A21" s="45" t="s">
        <v>23</v>
      </c>
      <c r="B21" s="41">
        <f t="shared" si="0"/>
        <v>-0.38355134138902791</v>
      </c>
      <c r="C21" s="173">
        <f>E21-[1]Austria!E21</f>
        <v>-16399.400000000001</v>
      </c>
      <c r="D21" s="42">
        <f>F21-[1]Austria!F21</f>
        <v>-13558.460000000021</v>
      </c>
      <c r="E21" s="118">
        <f>SUM(E2:E20)</f>
        <v>45114.080000000002</v>
      </c>
      <c r="F21" s="42">
        <f>SUM(F2:F20)</f>
        <v>73183.839999999997</v>
      </c>
      <c r="G21" s="42">
        <f t="shared" ref="G21:L21" si="1">SUM(G2:G20)</f>
        <v>27178</v>
      </c>
      <c r="H21" s="42">
        <f t="shared" si="1"/>
        <v>13851.8</v>
      </c>
      <c r="I21" s="42">
        <f t="shared" si="1"/>
        <v>76315.62</v>
      </c>
      <c r="J21" s="42">
        <f t="shared" si="1"/>
        <v>76178.22</v>
      </c>
      <c r="K21" s="42">
        <f t="shared" si="1"/>
        <v>77032</v>
      </c>
      <c r="L21" s="42">
        <f t="shared" si="1"/>
        <v>56929.320000000007</v>
      </c>
      <c r="M21" s="42">
        <f t="shared" ref="M21:R21" si="2">SUM(M2:M20)</f>
        <v>86832</v>
      </c>
      <c r="N21" s="42">
        <f t="shared" si="2"/>
        <v>78526</v>
      </c>
      <c r="O21" s="42">
        <f t="shared" si="2"/>
        <v>82632</v>
      </c>
      <c r="P21" s="42">
        <f t="shared" si="2"/>
        <v>78965</v>
      </c>
      <c r="Q21" s="42">
        <f t="shared" si="2"/>
        <v>62632</v>
      </c>
      <c r="R21" s="43">
        <f t="shared" si="2"/>
        <v>60027</v>
      </c>
    </row>
    <row r="22" spans="1:19" s="9" customFormat="1" x14ac:dyDescent="0.2">
      <c r="B22" s="44"/>
      <c r="C22" s="44"/>
      <c r="D22" s="44"/>
      <c r="E22" s="44"/>
      <c r="F22" s="44"/>
      <c r="G22" s="44"/>
      <c r="H22" s="44"/>
      <c r="I22" s="12"/>
      <c r="J22" s="12"/>
      <c r="K22" s="12"/>
      <c r="L22" s="12"/>
      <c r="M22" s="12"/>
      <c r="N22" s="12"/>
      <c r="O22" s="12"/>
      <c r="P22" s="12"/>
    </row>
    <row r="27" spans="1:19" ht="18" x14ac:dyDescent="0.25">
      <c r="Q27" s="5"/>
      <c r="R27" s="1"/>
      <c r="S27" s="1"/>
    </row>
    <row r="28" spans="1:19" ht="18" x14ac:dyDescent="0.25">
      <c r="Q28" s="5"/>
      <c r="R28" s="1"/>
      <c r="S28" s="1"/>
    </row>
    <row r="29" spans="1:19" ht="18" x14ac:dyDescent="0.25">
      <c r="Q29" s="5"/>
      <c r="R29" s="1"/>
      <c r="S29" s="1"/>
    </row>
    <row r="30" spans="1:19" ht="18" x14ac:dyDescent="0.25">
      <c r="Q30" s="5"/>
      <c r="R30" s="1"/>
      <c r="S30" s="1"/>
    </row>
    <row r="31" spans="1:19" ht="18" x14ac:dyDescent="0.25">
      <c r="Q31" s="5"/>
      <c r="R31" s="1"/>
      <c r="S31" s="1"/>
    </row>
    <row r="32" spans="1:19" ht="18" x14ac:dyDescent="0.25">
      <c r="Q32" s="5"/>
      <c r="R32" s="1"/>
      <c r="S32" s="1"/>
    </row>
    <row r="33" spans="17:19" ht="18" x14ac:dyDescent="0.25">
      <c r="Q33" s="5"/>
      <c r="R33" s="1"/>
      <c r="S33" s="1"/>
    </row>
    <row r="34" spans="17:19" ht="18" x14ac:dyDescent="0.25">
      <c r="Q34" s="5"/>
      <c r="R34" s="1"/>
      <c r="S34" s="1"/>
    </row>
    <row r="35" spans="17:19" ht="18" x14ac:dyDescent="0.25">
      <c r="Q35" s="5"/>
      <c r="R35" s="1"/>
      <c r="S35" s="1"/>
    </row>
    <row r="36" spans="17:19" ht="18" x14ac:dyDescent="0.25">
      <c r="Q36" s="5"/>
      <c r="R36" s="1"/>
      <c r="S36" s="1"/>
    </row>
    <row r="37" spans="17:19" ht="18" x14ac:dyDescent="0.25">
      <c r="Q37" s="6"/>
      <c r="R37" s="1"/>
      <c r="S37" s="1"/>
    </row>
    <row r="38" spans="17:19" ht="18.75" x14ac:dyDescent="0.3">
      <c r="Q38" s="7"/>
      <c r="R38" s="2"/>
      <c r="S38" s="2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B6" sqref="B6"/>
    </sheetView>
  </sheetViews>
  <sheetFormatPr defaultRowHeight="12.75" x14ac:dyDescent="0.2"/>
  <cols>
    <col min="1" max="1" width="29.28515625" customWidth="1"/>
    <col min="2" max="2" width="10.7109375" customWidth="1"/>
    <col min="3" max="3" width="11.5703125" bestFit="1" customWidth="1"/>
    <col min="4" max="4" width="11.5703125" style="9" bestFit="1" customWidth="1"/>
    <col min="5" max="6" width="11.5703125" style="9" customWidth="1"/>
    <col min="7" max="7" width="11.28515625" style="9" customWidth="1"/>
    <col min="8" max="8" width="10.7109375" customWidth="1"/>
    <col min="9" max="16" width="10.140625" style="12" bestFit="1" customWidth="1"/>
    <col min="17" max="18" width="10.140625" bestFit="1" customWidth="1"/>
  </cols>
  <sheetData>
    <row r="1" spans="1:18" s="16" customFormat="1" ht="13.5" thickBot="1" x14ac:dyDescent="0.25">
      <c r="A1" s="31" t="s">
        <v>24</v>
      </c>
      <c r="B1" s="32" t="s">
        <v>174</v>
      </c>
      <c r="C1" s="62" t="s">
        <v>173</v>
      </c>
      <c r="D1" s="96" t="s">
        <v>168</v>
      </c>
      <c r="E1" s="128">
        <v>43922</v>
      </c>
      <c r="F1" s="136">
        <v>43556</v>
      </c>
      <c r="G1" s="136">
        <v>43191</v>
      </c>
      <c r="H1" s="33">
        <v>42826</v>
      </c>
      <c r="I1" s="33">
        <v>42461</v>
      </c>
      <c r="J1" s="33">
        <v>42095</v>
      </c>
      <c r="K1" s="33">
        <v>41730</v>
      </c>
      <c r="L1" s="33">
        <v>41365</v>
      </c>
      <c r="M1" s="33">
        <v>41000</v>
      </c>
      <c r="N1" s="33">
        <v>40634</v>
      </c>
      <c r="O1" s="33">
        <v>40269</v>
      </c>
      <c r="P1" s="33">
        <v>39904</v>
      </c>
      <c r="Q1" s="33">
        <v>39539</v>
      </c>
      <c r="R1" s="34">
        <v>39173</v>
      </c>
    </row>
    <row r="2" spans="1:18" x14ac:dyDescent="0.2">
      <c r="A2" s="27" t="s">
        <v>4</v>
      </c>
      <c r="B2" s="35">
        <f>(E2-F2)/F2</f>
        <v>-1</v>
      </c>
      <c r="C2" s="144">
        <f>E2-[1]Belgium!E2</f>
        <v>-162</v>
      </c>
      <c r="D2" s="13">
        <f>F2-[1]Belgium!F2</f>
        <v>-754</v>
      </c>
      <c r="E2" s="125">
        <v>0</v>
      </c>
      <c r="F2" s="13">
        <v>1705</v>
      </c>
      <c r="G2" s="13">
        <v>0</v>
      </c>
      <c r="H2" s="13">
        <v>0</v>
      </c>
      <c r="I2" s="13">
        <v>1251</v>
      </c>
      <c r="J2" s="13">
        <v>975</v>
      </c>
      <c r="K2" s="13">
        <v>399</v>
      </c>
      <c r="L2" s="13">
        <v>0</v>
      </c>
      <c r="M2" s="13">
        <v>0</v>
      </c>
      <c r="N2" s="13">
        <v>0</v>
      </c>
      <c r="O2" s="13">
        <v>0</v>
      </c>
      <c r="P2" s="13">
        <v>500</v>
      </c>
      <c r="Q2" s="13">
        <v>4800</v>
      </c>
      <c r="R2" s="37">
        <v>1500</v>
      </c>
    </row>
    <row r="3" spans="1:18" x14ac:dyDescent="0.2">
      <c r="A3" s="27" t="s">
        <v>161</v>
      </c>
      <c r="B3" s="35"/>
      <c r="C3" s="144">
        <f>E3-[1]Belgium!E3</f>
        <v>0</v>
      </c>
      <c r="D3" s="13">
        <f>F3-[1]Belgium!F3</f>
        <v>0</v>
      </c>
      <c r="E3" s="125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700</v>
      </c>
      <c r="R3" s="37">
        <v>50</v>
      </c>
    </row>
    <row r="4" spans="1:18" x14ac:dyDescent="0.2">
      <c r="A4" s="27" t="s">
        <v>2</v>
      </c>
      <c r="B4" s="35">
        <f t="shared" ref="B4:B10" si="0">(E4-F4)/F4</f>
        <v>-0.93916755602988256</v>
      </c>
      <c r="C4" s="144">
        <f>E4-[1]Belgium!E4</f>
        <v>-154</v>
      </c>
      <c r="D4" s="13">
        <f>F4-[1]Belgium!F4</f>
        <v>-509</v>
      </c>
      <c r="E4" s="125">
        <v>57</v>
      </c>
      <c r="F4" s="13">
        <v>937</v>
      </c>
      <c r="G4" s="13">
        <v>4</v>
      </c>
      <c r="H4" s="13">
        <v>2</v>
      </c>
      <c r="I4" s="13">
        <v>422</v>
      </c>
      <c r="J4" s="13">
        <v>1147</v>
      </c>
      <c r="K4" s="13">
        <v>238</v>
      </c>
      <c r="L4" s="13">
        <v>0</v>
      </c>
      <c r="M4" s="13">
        <v>50</v>
      </c>
      <c r="N4" s="13">
        <v>0</v>
      </c>
      <c r="O4" s="13">
        <v>0</v>
      </c>
      <c r="P4" s="13">
        <v>0</v>
      </c>
      <c r="Q4" s="13">
        <v>1500</v>
      </c>
      <c r="R4" s="37">
        <v>0</v>
      </c>
    </row>
    <row r="5" spans="1:18" x14ac:dyDescent="0.2">
      <c r="A5" s="27" t="s">
        <v>101</v>
      </c>
      <c r="B5" s="35"/>
      <c r="C5" s="144">
        <f>E5-[1]Belgium!E5</f>
        <v>0</v>
      </c>
      <c r="D5" s="13">
        <f>F5-[1]Belgium!F5</f>
        <v>0</v>
      </c>
      <c r="E5" s="125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37">
        <v>400</v>
      </c>
    </row>
    <row r="6" spans="1:18" x14ac:dyDescent="0.2">
      <c r="A6" s="27" t="s">
        <v>3</v>
      </c>
      <c r="B6" s="35">
        <f t="shared" si="0"/>
        <v>0.92477602718566576</v>
      </c>
      <c r="C6" s="144">
        <f>E6-[1]Belgium!E6</f>
        <v>-1582</v>
      </c>
      <c r="D6" s="13">
        <f>F6-[1]Belgium!F6</f>
        <v>-2169</v>
      </c>
      <c r="E6" s="125">
        <v>12461</v>
      </c>
      <c r="F6" s="13">
        <v>6474</v>
      </c>
      <c r="G6" s="13">
        <v>4463</v>
      </c>
      <c r="H6" s="13">
        <v>8496</v>
      </c>
      <c r="I6" s="13">
        <v>12271</v>
      </c>
      <c r="J6" s="13">
        <v>10650</v>
      </c>
      <c r="K6" s="13">
        <v>9862</v>
      </c>
      <c r="L6" s="13">
        <v>7133</v>
      </c>
      <c r="M6" s="13">
        <v>7700</v>
      </c>
      <c r="N6" s="13">
        <v>3557.8108285198987</v>
      </c>
      <c r="O6" s="13">
        <v>13464</v>
      </c>
      <c r="P6" s="13">
        <v>7900</v>
      </c>
      <c r="Q6" s="13">
        <v>11800</v>
      </c>
      <c r="R6" s="37">
        <v>11500</v>
      </c>
    </row>
    <row r="7" spans="1:18" x14ac:dyDescent="0.2">
      <c r="A7" s="28" t="s">
        <v>27</v>
      </c>
      <c r="B7" s="35">
        <f t="shared" si="0"/>
        <v>0.16593662309219082</v>
      </c>
      <c r="C7" s="144">
        <f>E7-[1]Belgium!E7</f>
        <v>-8178</v>
      </c>
      <c r="D7" s="13">
        <f>F7-[1]Belgium!F7</f>
        <v>-9000</v>
      </c>
      <c r="E7" s="125">
        <v>34071</v>
      </c>
      <c r="F7" s="13">
        <v>29222</v>
      </c>
      <c r="G7" s="13">
        <v>1389</v>
      </c>
      <c r="H7" s="97">
        <v>21885</v>
      </c>
      <c r="I7" s="97">
        <v>44000</v>
      </c>
      <c r="J7" s="97">
        <v>55663</v>
      </c>
      <c r="K7" s="97">
        <v>28091</v>
      </c>
      <c r="L7" s="97">
        <v>20800</v>
      </c>
      <c r="M7" s="97">
        <v>27760</v>
      </c>
      <c r="N7" s="97">
        <v>36832.986024043304</v>
      </c>
      <c r="O7" s="97">
        <v>54892</v>
      </c>
      <c r="P7" s="97">
        <v>89400</v>
      </c>
      <c r="Q7" s="13">
        <v>65600</v>
      </c>
      <c r="R7" s="37">
        <v>72600</v>
      </c>
    </row>
    <row r="8" spans="1:18" x14ac:dyDescent="0.2">
      <c r="A8" s="29" t="s">
        <v>26</v>
      </c>
      <c r="B8" s="35">
        <f t="shared" si="0"/>
        <v>1.7799352750809063E-3</v>
      </c>
      <c r="C8" s="144">
        <f>E8-[1]Belgium!E8</f>
        <v>-2964</v>
      </c>
      <c r="D8" s="13">
        <f>F8-[1]Belgium!F8</f>
        <v>-7274</v>
      </c>
      <c r="E8" s="125">
        <v>24764</v>
      </c>
      <c r="F8" s="13">
        <v>24720</v>
      </c>
      <c r="G8" s="13">
        <v>430</v>
      </c>
      <c r="H8" s="97">
        <v>14892</v>
      </c>
      <c r="I8" s="97">
        <v>18325</v>
      </c>
      <c r="J8" s="97">
        <v>30347</v>
      </c>
      <c r="K8" s="97">
        <v>10717</v>
      </c>
      <c r="L8" s="97">
        <v>13880</v>
      </c>
      <c r="M8" s="97">
        <v>16100</v>
      </c>
      <c r="N8" s="97">
        <v>9727.7260317689525</v>
      </c>
      <c r="O8" s="97">
        <v>18320</v>
      </c>
      <c r="P8" s="97">
        <v>22100</v>
      </c>
      <c r="Q8" s="13">
        <v>26500</v>
      </c>
      <c r="R8" s="37">
        <v>24650</v>
      </c>
    </row>
    <row r="9" spans="1:18" ht="13.5" thickBot="1" x14ac:dyDescent="0.25">
      <c r="A9" s="28" t="s">
        <v>59</v>
      </c>
      <c r="B9" s="35">
        <f t="shared" si="0"/>
        <v>-0.52448579823702257</v>
      </c>
      <c r="C9" s="144">
        <f>E9-[1]Belgium!E9</f>
        <v>-1295</v>
      </c>
      <c r="D9" s="13">
        <f>F9-[1]Belgium!F9</f>
        <v>-6414</v>
      </c>
      <c r="E9" s="125">
        <v>4855</v>
      </c>
      <c r="F9" s="13">
        <v>10210</v>
      </c>
      <c r="G9" s="13">
        <v>1971</v>
      </c>
      <c r="H9" s="97">
        <v>338</v>
      </c>
      <c r="I9" s="97">
        <v>12109</v>
      </c>
      <c r="J9" s="97">
        <v>4056</v>
      </c>
      <c r="K9" s="97">
        <v>5724</v>
      </c>
      <c r="L9" s="97">
        <v>4143</v>
      </c>
      <c r="M9" s="97">
        <v>4800</v>
      </c>
      <c r="N9" s="97">
        <v>9188.7322610108295</v>
      </c>
      <c r="O9" s="97">
        <v>6055</v>
      </c>
      <c r="P9" s="97">
        <v>16800</v>
      </c>
      <c r="Q9" s="13">
        <v>17200</v>
      </c>
      <c r="R9" s="37">
        <v>1900</v>
      </c>
    </row>
    <row r="10" spans="1:18" ht="13.5" thickBot="1" x14ac:dyDescent="0.25">
      <c r="A10" s="151" t="s">
        <v>23</v>
      </c>
      <c r="B10" s="160">
        <f t="shared" si="0"/>
        <v>4.0126658295572416E-2</v>
      </c>
      <c r="C10" s="171">
        <f>E10-[1]Belgium!E10</f>
        <v>-14335</v>
      </c>
      <c r="D10" s="106">
        <f>F10-[1]Belgium!F10</f>
        <v>-26120</v>
      </c>
      <c r="E10" s="58">
        <f>SUM(E2:E9)</f>
        <v>76208</v>
      </c>
      <c r="F10" s="106">
        <f>SUM(F2:F9)</f>
        <v>73268</v>
      </c>
      <c r="G10" s="106">
        <f t="shared" ref="G10:L10" si="1">SUM(G2:G9)</f>
        <v>8257</v>
      </c>
      <c r="H10" s="106">
        <f t="shared" si="1"/>
        <v>45613</v>
      </c>
      <c r="I10" s="106">
        <f t="shared" si="1"/>
        <v>88378</v>
      </c>
      <c r="J10" s="106">
        <f t="shared" si="1"/>
        <v>102838</v>
      </c>
      <c r="K10" s="106">
        <f t="shared" si="1"/>
        <v>55031</v>
      </c>
      <c r="L10" s="106">
        <f t="shared" si="1"/>
        <v>45956</v>
      </c>
      <c r="M10" s="106">
        <f t="shared" ref="M10:R10" si="2">SUM(M2:M9)</f>
        <v>56410</v>
      </c>
      <c r="N10" s="106">
        <f t="shared" si="2"/>
        <v>59307.255145342984</v>
      </c>
      <c r="O10" s="106">
        <f t="shared" si="2"/>
        <v>92731</v>
      </c>
      <c r="P10" s="106">
        <f t="shared" si="2"/>
        <v>136700</v>
      </c>
      <c r="Q10" s="106">
        <f t="shared" si="2"/>
        <v>128100</v>
      </c>
      <c r="R10" s="152">
        <f t="shared" si="2"/>
        <v>112600</v>
      </c>
    </row>
    <row r="11" spans="1:18" s="9" customFormat="1" x14ac:dyDescent="0.2">
      <c r="A11" s="9" t="s">
        <v>102</v>
      </c>
      <c r="B11" s="44"/>
      <c r="C11" s="44"/>
      <c r="D11" s="44"/>
      <c r="E11" s="44"/>
      <c r="F11" s="44"/>
      <c r="G11" s="44"/>
      <c r="H11" s="12"/>
      <c r="I11" s="12"/>
      <c r="J11" s="12"/>
      <c r="K11" s="12"/>
      <c r="L11" s="12"/>
      <c r="M11" s="12"/>
      <c r="N11" s="12"/>
      <c r="O11" s="12"/>
      <c r="P11" s="12"/>
    </row>
    <row r="12" spans="1:18" s="9" customFormat="1" x14ac:dyDescent="0.2">
      <c r="A12" s="9" t="s">
        <v>160</v>
      </c>
      <c r="B12" s="44"/>
      <c r="C12" s="44"/>
      <c r="D12" s="44"/>
      <c r="E12" s="44"/>
      <c r="F12" s="44"/>
      <c r="G12" s="44"/>
      <c r="H12" s="12"/>
      <c r="I12" s="12"/>
      <c r="J12" s="12"/>
      <c r="K12" s="12"/>
      <c r="L12" s="12"/>
      <c r="M12" s="12"/>
      <c r="N12" s="12"/>
      <c r="O12" s="12"/>
      <c r="P12" s="12"/>
    </row>
    <row r="13" spans="1:18" s="9" customFormat="1" ht="13.5" thickBot="1" x14ac:dyDescent="0.25">
      <c r="B13" s="44"/>
      <c r="C13" s="44"/>
      <c r="D13" s="44"/>
      <c r="E13" s="44"/>
      <c r="F13" s="44"/>
      <c r="G13" s="44"/>
      <c r="H13" s="12"/>
      <c r="I13" s="12"/>
      <c r="J13" s="12"/>
      <c r="K13" s="12"/>
      <c r="L13" s="12"/>
      <c r="M13" s="12"/>
      <c r="N13" s="12"/>
      <c r="O13" s="12"/>
      <c r="P13" s="12"/>
    </row>
    <row r="14" spans="1:18" s="16" customFormat="1" ht="13.5" thickBot="1" x14ac:dyDescent="0.25">
      <c r="A14" s="31" t="s">
        <v>25</v>
      </c>
      <c r="B14" s="32" t="s">
        <v>174</v>
      </c>
      <c r="C14" s="62" t="s">
        <v>173</v>
      </c>
      <c r="D14" s="96" t="s">
        <v>168</v>
      </c>
      <c r="E14" s="128">
        <v>43922</v>
      </c>
      <c r="F14" s="136">
        <v>43556</v>
      </c>
      <c r="G14" s="136">
        <v>43191</v>
      </c>
      <c r="H14" s="33">
        <v>42826</v>
      </c>
      <c r="I14" s="33">
        <v>42461</v>
      </c>
      <c r="J14" s="33">
        <v>42095</v>
      </c>
      <c r="K14" s="33">
        <v>41730</v>
      </c>
      <c r="L14" s="33">
        <v>41365</v>
      </c>
      <c r="M14" s="33">
        <v>41000</v>
      </c>
      <c r="N14" s="33">
        <v>40634</v>
      </c>
      <c r="O14" s="33">
        <v>40269</v>
      </c>
      <c r="P14" s="33">
        <v>39904</v>
      </c>
      <c r="Q14" s="33">
        <v>39539</v>
      </c>
      <c r="R14" s="34">
        <v>39173</v>
      </c>
    </row>
    <row r="15" spans="1:18" x14ac:dyDescent="0.2">
      <c r="A15" s="27" t="s">
        <v>7</v>
      </c>
      <c r="B15" s="35">
        <f>(E15-F15)/F15</f>
        <v>-0.17154285714285714</v>
      </c>
      <c r="C15" s="144">
        <f>E15-[1]Belgium!E15</f>
        <v>-36218</v>
      </c>
      <c r="D15" s="13">
        <f>F15-[1]Belgium!F15</f>
        <v>-60573</v>
      </c>
      <c r="E15" s="125">
        <v>57992</v>
      </c>
      <c r="F15" s="84">
        <v>70000</v>
      </c>
      <c r="G15" s="13">
        <v>40230</v>
      </c>
      <c r="H15" s="13">
        <v>57000</v>
      </c>
      <c r="I15" s="13">
        <v>86049</v>
      </c>
      <c r="J15" s="13">
        <v>65231</v>
      </c>
      <c r="K15" s="13">
        <v>37805</v>
      </c>
      <c r="L15" s="13">
        <v>29495</v>
      </c>
      <c r="M15" s="13">
        <v>34000</v>
      </c>
      <c r="N15" s="13">
        <v>50300</v>
      </c>
      <c r="O15" s="13">
        <v>44300</v>
      </c>
      <c r="P15" s="13">
        <v>8500</v>
      </c>
      <c r="Q15" s="13">
        <v>62800</v>
      </c>
      <c r="R15" s="37">
        <v>66900</v>
      </c>
    </row>
    <row r="16" spans="1:18" x14ac:dyDescent="0.2">
      <c r="A16" s="27" t="s">
        <v>100</v>
      </c>
      <c r="B16" s="35">
        <f>(E16-F16)/F16</f>
        <v>-1</v>
      </c>
      <c r="C16" s="144">
        <f>E16-[1]Belgium!E16</f>
        <v>-25</v>
      </c>
      <c r="D16" s="13">
        <f>F16-[1]Belgium!F16</f>
        <v>-582</v>
      </c>
      <c r="E16" s="125">
        <v>0</v>
      </c>
      <c r="F16" s="13">
        <v>247</v>
      </c>
      <c r="G16" s="13">
        <v>0</v>
      </c>
      <c r="H16" s="13">
        <v>25</v>
      </c>
      <c r="I16" s="13">
        <v>282</v>
      </c>
      <c r="J16" s="13">
        <v>641</v>
      </c>
      <c r="K16" s="13">
        <v>330</v>
      </c>
      <c r="L16" s="13">
        <v>0</v>
      </c>
      <c r="M16" s="13">
        <v>110</v>
      </c>
      <c r="N16" s="13">
        <v>0</v>
      </c>
      <c r="O16" s="13">
        <v>0</v>
      </c>
      <c r="P16" s="13">
        <v>0</v>
      </c>
      <c r="Q16" s="13">
        <v>0</v>
      </c>
      <c r="R16" s="37">
        <v>600</v>
      </c>
    </row>
    <row r="17" spans="1:19" x14ac:dyDescent="0.2">
      <c r="A17" s="53" t="s">
        <v>162</v>
      </c>
      <c r="B17" s="35"/>
      <c r="C17" s="144">
        <f>E17-[1]Belgium!E17</f>
        <v>0</v>
      </c>
      <c r="D17" s="13">
        <f>F17-[1]Belgium!F17</f>
        <v>0</v>
      </c>
      <c r="E17" s="125">
        <v>0</v>
      </c>
      <c r="F17" s="13">
        <v>0</v>
      </c>
      <c r="G17" s="13">
        <v>0</v>
      </c>
      <c r="H17" s="13">
        <v>0</v>
      </c>
      <c r="I17" s="13">
        <v>0</v>
      </c>
      <c r="J17" s="13"/>
      <c r="K17" s="13"/>
      <c r="L17" s="13"/>
      <c r="M17" s="13"/>
      <c r="N17" s="13"/>
      <c r="O17" s="13"/>
      <c r="P17" s="13"/>
      <c r="Q17" s="13"/>
      <c r="R17" s="37"/>
    </row>
    <row r="18" spans="1:19" ht="13.5" thickBot="1" x14ac:dyDescent="0.25">
      <c r="A18" s="27" t="s">
        <v>6</v>
      </c>
      <c r="B18" s="35">
        <f>(E18-F18)/F18</f>
        <v>-0.75529411764705878</v>
      </c>
      <c r="C18" s="144">
        <f>E18-[1]Belgium!E18</f>
        <v>-33</v>
      </c>
      <c r="D18" s="13">
        <f>F18-[1]Belgium!F18</f>
        <v>-623</v>
      </c>
      <c r="E18" s="125">
        <v>208</v>
      </c>
      <c r="F18" s="13">
        <v>850</v>
      </c>
      <c r="G18" s="13">
        <v>64</v>
      </c>
      <c r="H18" s="13">
        <v>0</v>
      </c>
      <c r="I18" s="13">
        <v>0</v>
      </c>
      <c r="J18" s="13">
        <v>840</v>
      </c>
      <c r="K18" s="13">
        <v>0</v>
      </c>
      <c r="L18" s="13">
        <v>0</v>
      </c>
      <c r="M18" s="13">
        <v>120</v>
      </c>
      <c r="N18" s="13">
        <v>0</v>
      </c>
      <c r="O18" s="13">
        <v>0</v>
      </c>
      <c r="P18" s="13">
        <v>0</v>
      </c>
      <c r="Q18" s="13">
        <v>0</v>
      </c>
      <c r="R18" s="37">
        <v>500</v>
      </c>
    </row>
    <row r="19" spans="1:19" ht="13.5" thickBot="1" x14ac:dyDescent="0.25">
      <c r="A19" s="31" t="s">
        <v>23</v>
      </c>
      <c r="B19" s="160">
        <f>(E19-F19)/F19</f>
        <v>-0.18140005907422255</v>
      </c>
      <c r="C19" s="171">
        <f>E19-[1]Belgium!E19</f>
        <v>-36276</v>
      </c>
      <c r="D19" s="106">
        <f>F19-[1]Belgium!F19</f>
        <v>-61778</v>
      </c>
      <c r="E19" s="58">
        <f>SUM(E15:E18)</f>
        <v>58200</v>
      </c>
      <c r="F19" s="106">
        <f>SUM(F15:F18)</f>
        <v>71097</v>
      </c>
      <c r="G19" s="106">
        <f>SUM(G15:G18)</f>
        <v>40294</v>
      </c>
      <c r="H19" s="106">
        <f t="shared" ref="H19:M19" si="3">SUM(H15:H18)</f>
        <v>57025</v>
      </c>
      <c r="I19" s="106">
        <f t="shared" si="3"/>
        <v>86331</v>
      </c>
      <c r="J19" s="106">
        <f t="shared" si="3"/>
        <v>66712</v>
      </c>
      <c r="K19" s="106">
        <f t="shared" si="3"/>
        <v>38135</v>
      </c>
      <c r="L19" s="106">
        <f t="shared" si="3"/>
        <v>29495</v>
      </c>
      <c r="M19" s="106">
        <f t="shared" si="3"/>
        <v>34230</v>
      </c>
      <c r="N19" s="106">
        <v>50300</v>
      </c>
      <c r="O19" s="106">
        <f>SUM(O15:O18)</f>
        <v>44300</v>
      </c>
      <c r="P19" s="106">
        <f>SUM(P15:P18)</f>
        <v>8500</v>
      </c>
      <c r="Q19" s="106">
        <f>SUM(Q15:Q18)</f>
        <v>62800</v>
      </c>
      <c r="R19" s="152">
        <f>SUM(R15:R18)</f>
        <v>68000</v>
      </c>
    </row>
    <row r="26" spans="1:19" ht="18" x14ac:dyDescent="0.25">
      <c r="Q26" s="5"/>
      <c r="R26" s="1"/>
      <c r="S26" s="1"/>
    </row>
    <row r="27" spans="1:19" ht="18" x14ac:dyDescent="0.25">
      <c r="Q27" s="5"/>
      <c r="R27" s="1"/>
      <c r="S27" s="1"/>
    </row>
    <row r="28" spans="1:19" ht="18" x14ac:dyDescent="0.25">
      <c r="Q28" s="5"/>
      <c r="R28" s="1"/>
      <c r="S28" s="1"/>
    </row>
    <row r="29" spans="1:19" ht="18" x14ac:dyDescent="0.25">
      <c r="Q29" s="5"/>
      <c r="R29" s="1"/>
      <c r="S29" s="1"/>
    </row>
    <row r="30" spans="1:19" ht="18" x14ac:dyDescent="0.25">
      <c r="Q30" s="5"/>
      <c r="R30" s="1"/>
      <c r="S30" s="1"/>
    </row>
    <row r="31" spans="1:19" ht="18" x14ac:dyDescent="0.25">
      <c r="Q31" s="5"/>
      <c r="R31" s="1"/>
      <c r="S31" s="1"/>
    </row>
    <row r="32" spans="1:19" ht="18" x14ac:dyDescent="0.25">
      <c r="Q32" s="5"/>
      <c r="R32" s="1"/>
      <c r="S32" s="1"/>
    </row>
    <row r="33" spans="17:19" ht="18" x14ac:dyDescent="0.25">
      <c r="Q33" s="5"/>
      <c r="R33" s="1"/>
      <c r="S33" s="1"/>
    </row>
    <row r="34" spans="17:19" ht="18" x14ac:dyDescent="0.25">
      <c r="Q34" s="5"/>
      <c r="R34" s="1"/>
      <c r="S34" s="1"/>
    </row>
    <row r="35" spans="17:19" ht="18" x14ac:dyDescent="0.25">
      <c r="Q35" s="5"/>
      <c r="R35" s="1"/>
      <c r="S35" s="1"/>
    </row>
    <row r="36" spans="17:19" ht="18" x14ac:dyDescent="0.25">
      <c r="Q36" s="6"/>
      <c r="R36" s="1"/>
      <c r="S36" s="1"/>
    </row>
    <row r="37" spans="17:19" ht="18.75" x14ac:dyDescent="0.3">
      <c r="Q37" s="7"/>
      <c r="R37" s="2"/>
      <c r="S37" s="2"/>
    </row>
  </sheetData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workbookViewId="0">
      <selection activeCell="B7" sqref="B7"/>
    </sheetView>
  </sheetViews>
  <sheetFormatPr defaultRowHeight="12.75" x14ac:dyDescent="0.2"/>
  <cols>
    <col min="1" max="1" width="29.28515625" customWidth="1"/>
    <col min="2" max="2" width="10.7109375" customWidth="1"/>
    <col min="3" max="3" width="11.5703125" bestFit="1" customWidth="1"/>
    <col min="4" max="4" width="11.5703125" style="9" bestFit="1" customWidth="1"/>
    <col min="5" max="6" width="11.5703125" style="9" customWidth="1"/>
    <col min="7" max="7" width="11.7109375" style="101" customWidth="1"/>
    <col min="8" max="8" width="10.5703125" style="100" customWidth="1"/>
    <col min="9" max="16" width="10.140625" style="12" bestFit="1" customWidth="1"/>
    <col min="17" max="18" width="10.140625" bestFit="1" customWidth="1"/>
  </cols>
  <sheetData>
    <row r="1" spans="1:18" s="16" customFormat="1" ht="13.5" thickBot="1" x14ac:dyDescent="0.25">
      <c r="A1" s="31" t="s">
        <v>24</v>
      </c>
      <c r="B1" s="32" t="s">
        <v>174</v>
      </c>
      <c r="C1" s="62" t="s">
        <v>173</v>
      </c>
      <c r="D1" s="96" t="s">
        <v>168</v>
      </c>
      <c r="E1" s="128">
        <v>43922</v>
      </c>
      <c r="F1" s="136">
        <v>43556</v>
      </c>
      <c r="G1" s="136">
        <v>43191</v>
      </c>
      <c r="H1" s="33">
        <v>42826</v>
      </c>
      <c r="I1" s="33">
        <v>42461</v>
      </c>
      <c r="J1" s="33">
        <v>42095</v>
      </c>
      <c r="K1" s="33">
        <v>41730</v>
      </c>
      <c r="L1" s="33">
        <v>41365</v>
      </c>
      <c r="M1" s="33">
        <v>41000</v>
      </c>
      <c r="N1" s="33">
        <v>40634</v>
      </c>
      <c r="O1" s="33">
        <v>40269</v>
      </c>
      <c r="P1" s="33">
        <v>39904</v>
      </c>
      <c r="Q1" s="33">
        <v>39539</v>
      </c>
      <c r="R1" s="34">
        <v>39173</v>
      </c>
    </row>
    <row r="2" spans="1:18" x14ac:dyDescent="0.2">
      <c r="A2" s="53" t="s">
        <v>11</v>
      </c>
      <c r="B2" s="35">
        <f t="shared" ref="B2:B12" si="0">(E2-F2)/F2</f>
        <v>-0.35805384978743504</v>
      </c>
      <c r="C2" s="144">
        <f>E2-'[1]Czech Republic'!E2</f>
        <v>-409</v>
      </c>
      <c r="D2" s="13">
        <f>F2-'[1]Czech Republic'!F2</f>
        <v>-574</v>
      </c>
      <c r="E2" s="125">
        <v>1359</v>
      </c>
      <c r="F2" s="13">
        <v>2117</v>
      </c>
      <c r="G2" s="105">
        <v>307</v>
      </c>
      <c r="H2" s="13">
        <v>654</v>
      </c>
      <c r="I2" s="13"/>
      <c r="J2" s="13"/>
      <c r="K2" s="13"/>
      <c r="L2" s="13"/>
      <c r="M2" s="13"/>
      <c r="N2" s="13"/>
      <c r="O2" s="13"/>
      <c r="P2" s="13"/>
      <c r="Q2" s="13"/>
      <c r="R2" s="37"/>
    </row>
    <row r="3" spans="1:18" x14ac:dyDescent="0.2">
      <c r="A3" s="27" t="s">
        <v>9</v>
      </c>
      <c r="B3" s="35">
        <f t="shared" si="0"/>
        <v>-0.37223695844385501</v>
      </c>
      <c r="C3" s="144">
        <f>E3-'[1]Czech Republic'!E3</f>
        <v>-1152</v>
      </c>
      <c r="D3" s="13">
        <f>F3-'[1]Czech Republic'!F3</f>
        <v>-239</v>
      </c>
      <c r="E3" s="125">
        <v>710</v>
      </c>
      <c r="F3" s="13">
        <v>1131</v>
      </c>
      <c r="G3" s="105">
        <v>1127</v>
      </c>
      <c r="H3" s="13">
        <v>597</v>
      </c>
      <c r="I3" s="13">
        <v>1908</v>
      </c>
      <c r="J3" s="13">
        <v>483</v>
      </c>
      <c r="K3" s="13">
        <v>431</v>
      </c>
      <c r="L3" s="13">
        <v>35</v>
      </c>
      <c r="M3" s="13">
        <v>47</v>
      </c>
      <c r="N3" s="13">
        <v>20</v>
      </c>
      <c r="O3" s="13">
        <v>7</v>
      </c>
      <c r="P3" s="13">
        <v>16</v>
      </c>
      <c r="Q3" s="13">
        <v>49</v>
      </c>
      <c r="R3" s="37">
        <v>41</v>
      </c>
    </row>
    <row r="4" spans="1:18" x14ac:dyDescent="0.2">
      <c r="A4" s="27" t="s">
        <v>14</v>
      </c>
      <c r="B4" s="35">
        <f t="shared" si="0"/>
        <v>-0.8617992177314211</v>
      </c>
      <c r="C4" s="144">
        <f>E4-'[1]Czech Republic'!E4</f>
        <v>-33</v>
      </c>
      <c r="D4" s="13">
        <f>F4-'[1]Czech Republic'!F4</f>
        <v>-182</v>
      </c>
      <c r="E4" s="125">
        <v>106</v>
      </c>
      <c r="F4" s="13">
        <v>767</v>
      </c>
      <c r="G4" s="105">
        <v>296</v>
      </c>
      <c r="H4" s="13">
        <v>93</v>
      </c>
      <c r="I4" s="13">
        <v>399</v>
      </c>
      <c r="J4" s="13">
        <v>343</v>
      </c>
      <c r="K4" s="13">
        <v>44</v>
      </c>
      <c r="L4" s="13">
        <v>312</v>
      </c>
      <c r="M4" s="13">
        <v>166</v>
      </c>
      <c r="N4" s="13">
        <v>119</v>
      </c>
      <c r="O4" s="13">
        <v>371</v>
      </c>
      <c r="P4" s="13">
        <v>659</v>
      </c>
      <c r="Q4" s="13">
        <v>311</v>
      </c>
      <c r="R4" s="37">
        <v>495</v>
      </c>
    </row>
    <row r="5" spans="1:18" x14ac:dyDescent="0.2">
      <c r="A5" s="27" t="s">
        <v>3</v>
      </c>
      <c r="B5" s="35">
        <f t="shared" si="0"/>
        <v>-0.22184380504991191</v>
      </c>
      <c r="C5" s="144">
        <f>E5-'[1]Czech Republic'!E5</f>
        <v>-1131</v>
      </c>
      <c r="D5" s="13">
        <f>F5-'[1]Czech Republic'!F5</f>
        <v>-2134</v>
      </c>
      <c r="E5" s="125">
        <v>6626</v>
      </c>
      <c r="F5" s="13">
        <v>8515</v>
      </c>
      <c r="G5" s="105">
        <v>6095</v>
      </c>
      <c r="H5" s="13">
        <v>4897</v>
      </c>
      <c r="I5" s="13">
        <v>6623</v>
      </c>
      <c r="J5" s="13">
        <v>5750</v>
      </c>
      <c r="K5" s="13">
        <v>5170</v>
      </c>
      <c r="L5" s="13">
        <v>2620</v>
      </c>
      <c r="M5" s="13">
        <v>3130</v>
      </c>
      <c r="N5" s="13">
        <v>2053</v>
      </c>
      <c r="O5" s="13">
        <v>3833</v>
      </c>
      <c r="P5" s="13">
        <v>3601</v>
      </c>
      <c r="Q5" s="13">
        <v>587</v>
      </c>
      <c r="R5" s="37">
        <v>1619</v>
      </c>
    </row>
    <row r="6" spans="1:18" x14ac:dyDescent="0.2">
      <c r="A6" s="27" t="s">
        <v>10</v>
      </c>
      <c r="B6" s="35">
        <f t="shared" si="0"/>
        <v>-0.79202689721421715</v>
      </c>
      <c r="C6" s="144">
        <f>E6-'[1]Czech Republic'!E6</f>
        <v>-1112</v>
      </c>
      <c r="D6" s="13">
        <f>F6-'[1]Czech Republic'!F6</f>
        <v>-1570</v>
      </c>
      <c r="E6" s="125">
        <v>1299</v>
      </c>
      <c r="F6" s="13">
        <v>6246</v>
      </c>
      <c r="G6" s="105">
        <v>2819</v>
      </c>
      <c r="H6" s="13">
        <v>1882</v>
      </c>
      <c r="I6" s="13">
        <v>5614</v>
      </c>
      <c r="J6" s="13">
        <v>3418</v>
      </c>
      <c r="K6" s="13">
        <v>4902</v>
      </c>
      <c r="L6" s="13">
        <v>5295</v>
      </c>
      <c r="M6" s="13">
        <v>1549</v>
      </c>
      <c r="N6" s="13">
        <v>3423</v>
      </c>
      <c r="O6" s="13">
        <v>9399</v>
      </c>
      <c r="P6" s="13">
        <v>9943</v>
      </c>
      <c r="Q6" s="13">
        <v>3697</v>
      </c>
      <c r="R6" s="37">
        <v>9035</v>
      </c>
    </row>
    <row r="7" spans="1:18" x14ac:dyDescent="0.2">
      <c r="A7" s="27" t="s">
        <v>27</v>
      </c>
      <c r="B7" s="35">
        <f t="shared" si="0"/>
        <v>-0.76003167898627244</v>
      </c>
      <c r="C7" s="144">
        <f>E7-'[1]Czech Republic'!E7</f>
        <v>-934</v>
      </c>
      <c r="D7" s="13">
        <f>F7-'[1]Czech Republic'!F7</f>
        <v>-1976</v>
      </c>
      <c r="E7" s="125">
        <v>909</v>
      </c>
      <c r="F7" s="13">
        <v>3788</v>
      </c>
      <c r="G7" s="105">
        <v>786</v>
      </c>
      <c r="H7" s="13">
        <v>1457</v>
      </c>
      <c r="I7" s="13">
        <v>2265</v>
      </c>
      <c r="J7" s="13">
        <v>979</v>
      </c>
      <c r="K7" s="13">
        <v>2036</v>
      </c>
      <c r="L7" s="13">
        <v>812</v>
      </c>
      <c r="M7" s="13">
        <v>531</v>
      </c>
      <c r="N7" s="13">
        <v>447</v>
      </c>
      <c r="O7" s="13">
        <v>806</v>
      </c>
      <c r="P7" s="13">
        <v>1292</v>
      </c>
      <c r="Q7" s="13">
        <v>602</v>
      </c>
      <c r="R7" s="37">
        <v>1209</v>
      </c>
    </row>
    <row r="8" spans="1:18" x14ac:dyDescent="0.2">
      <c r="A8" s="27" t="s">
        <v>19</v>
      </c>
      <c r="B8" s="35">
        <f t="shared" si="0"/>
        <v>-0.45076060848678945</v>
      </c>
      <c r="C8" s="144">
        <f>E8-'[1]Czech Republic'!E8</f>
        <v>-192</v>
      </c>
      <c r="D8" s="13">
        <f>F8-'[1]Czech Republic'!F8</f>
        <v>-363</v>
      </c>
      <c r="E8" s="125">
        <v>686</v>
      </c>
      <c r="F8" s="13">
        <v>1249</v>
      </c>
      <c r="G8" s="105">
        <v>506</v>
      </c>
      <c r="H8" s="13">
        <v>48</v>
      </c>
      <c r="I8" s="13">
        <v>413</v>
      </c>
      <c r="J8" s="13">
        <v>10</v>
      </c>
      <c r="K8" s="13">
        <v>66</v>
      </c>
      <c r="L8" s="13">
        <v>77</v>
      </c>
      <c r="M8" s="13">
        <v>22</v>
      </c>
      <c r="N8" s="13">
        <v>37</v>
      </c>
      <c r="O8" s="13">
        <v>23</v>
      </c>
      <c r="P8" s="13">
        <v>7</v>
      </c>
      <c r="Q8" s="13">
        <v>94</v>
      </c>
      <c r="R8" s="37">
        <v>0</v>
      </c>
    </row>
    <row r="9" spans="1:18" x14ac:dyDescent="0.2">
      <c r="A9" s="53" t="s">
        <v>89</v>
      </c>
      <c r="B9" s="35">
        <f t="shared" si="0"/>
        <v>-0.79790419161676651</v>
      </c>
      <c r="C9" s="144">
        <f>E9-'[1]Czech Republic'!E9</f>
        <v>-167</v>
      </c>
      <c r="D9" s="13">
        <f>F9-'[1]Czech Republic'!F9</f>
        <v>-549</v>
      </c>
      <c r="E9" s="125">
        <v>135</v>
      </c>
      <c r="F9" s="13">
        <v>668</v>
      </c>
      <c r="G9" s="105">
        <v>127</v>
      </c>
      <c r="H9" s="13">
        <v>368</v>
      </c>
      <c r="I9" s="13">
        <v>867</v>
      </c>
      <c r="J9" s="13">
        <v>568</v>
      </c>
      <c r="K9" s="13">
        <v>81</v>
      </c>
      <c r="L9" s="13">
        <v>153</v>
      </c>
      <c r="M9" s="13">
        <v>166</v>
      </c>
      <c r="N9" s="13">
        <v>242</v>
      </c>
      <c r="O9" s="13">
        <v>81</v>
      </c>
      <c r="P9" s="13">
        <v>139</v>
      </c>
      <c r="Q9" s="13">
        <v>36</v>
      </c>
      <c r="R9" s="37">
        <v>360</v>
      </c>
    </row>
    <row r="10" spans="1:18" x14ac:dyDescent="0.2">
      <c r="A10" s="27" t="s">
        <v>35</v>
      </c>
      <c r="B10" s="35">
        <f t="shared" si="0"/>
        <v>-1</v>
      </c>
      <c r="C10" s="144">
        <f>E10-'[1]Czech Republic'!E10</f>
        <v>-30</v>
      </c>
      <c r="D10" s="13">
        <f>F10-'[1]Czech Republic'!F10</f>
        <v>6</v>
      </c>
      <c r="E10" s="125">
        <v>0</v>
      </c>
      <c r="F10" s="13">
        <v>12</v>
      </c>
      <c r="G10" s="105">
        <v>0</v>
      </c>
      <c r="H10" s="13">
        <v>0</v>
      </c>
      <c r="I10" s="13">
        <v>25</v>
      </c>
      <c r="J10" s="13">
        <v>2</v>
      </c>
      <c r="K10" s="13">
        <v>0</v>
      </c>
      <c r="L10" s="13">
        <v>8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37">
        <v>0</v>
      </c>
    </row>
    <row r="11" spans="1:18" ht="13.5" thickBot="1" x14ac:dyDescent="0.25">
      <c r="A11" s="28" t="s">
        <v>59</v>
      </c>
      <c r="B11" s="35">
        <f t="shared" si="0"/>
        <v>-0.56519804183355582</v>
      </c>
      <c r="C11" s="144">
        <f>E11-'[1]Czech Republic'!E11</f>
        <v>-166</v>
      </c>
      <c r="D11" s="13">
        <f>F11-'[1]Czech Republic'!F11</f>
        <v>-1078</v>
      </c>
      <c r="E11" s="125">
        <v>977</v>
      </c>
      <c r="F11" s="13">
        <v>2247</v>
      </c>
      <c r="G11" s="105">
        <v>889</v>
      </c>
      <c r="H11" s="13">
        <v>522</v>
      </c>
      <c r="I11" s="97">
        <v>1893</v>
      </c>
      <c r="J11" s="97">
        <v>615</v>
      </c>
      <c r="K11" s="97">
        <v>1045</v>
      </c>
      <c r="L11" s="97">
        <v>507</v>
      </c>
      <c r="M11" s="97">
        <v>366</v>
      </c>
      <c r="N11" s="97">
        <v>229</v>
      </c>
      <c r="O11" s="97">
        <v>475</v>
      </c>
      <c r="P11" s="97">
        <v>408</v>
      </c>
      <c r="Q11" s="13">
        <v>426</v>
      </c>
      <c r="R11" s="37">
        <v>1024</v>
      </c>
    </row>
    <row r="12" spans="1:18" ht="13.5" thickBot="1" x14ac:dyDescent="0.25">
      <c r="A12" s="151" t="s">
        <v>23</v>
      </c>
      <c r="B12" s="160">
        <f t="shared" si="0"/>
        <v>-0.52105459985041136</v>
      </c>
      <c r="C12" s="171">
        <f>E12-'[1]Czech Republic'!E12</f>
        <v>-5326</v>
      </c>
      <c r="D12" s="106">
        <f>F12-'[1]Czech Republic'!F12</f>
        <v>-8659</v>
      </c>
      <c r="E12" s="58">
        <f>SUM(E2:E11)</f>
        <v>12807</v>
      </c>
      <c r="F12" s="106">
        <v>26740</v>
      </c>
      <c r="G12" s="134">
        <v>12952</v>
      </c>
      <c r="H12" s="134">
        <f>SUM(H2:H11)</f>
        <v>10518</v>
      </c>
      <c r="I12" s="106">
        <f>SUM(I3:I11)</f>
        <v>20007</v>
      </c>
      <c r="J12" s="106">
        <f>SUM(J3:J11)</f>
        <v>12168</v>
      </c>
      <c r="K12" s="106">
        <f>SUM(K3:K11)</f>
        <v>13775</v>
      </c>
      <c r="L12" s="106">
        <f>SUM(L3:L11)</f>
        <v>9819</v>
      </c>
      <c r="M12" s="106">
        <f t="shared" ref="M12:R12" si="1">SUM(M3:M11)</f>
        <v>5977</v>
      </c>
      <c r="N12" s="106">
        <f t="shared" si="1"/>
        <v>6570</v>
      </c>
      <c r="O12" s="106">
        <f t="shared" si="1"/>
        <v>14995</v>
      </c>
      <c r="P12" s="106">
        <f t="shared" si="1"/>
        <v>16065</v>
      </c>
      <c r="Q12" s="106">
        <f t="shared" si="1"/>
        <v>5802</v>
      </c>
      <c r="R12" s="152">
        <f t="shared" si="1"/>
        <v>13783</v>
      </c>
    </row>
    <row r="13" spans="1:18" s="9" customFormat="1" x14ac:dyDescent="0.2">
      <c r="B13" s="44"/>
      <c r="C13" s="44"/>
      <c r="D13" s="44"/>
      <c r="E13" s="44"/>
      <c r="F13" s="44"/>
      <c r="G13" s="99"/>
      <c r="H13" s="99"/>
      <c r="I13" s="12"/>
      <c r="J13" s="12"/>
      <c r="K13" s="12"/>
      <c r="L13" s="12"/>
      <c r="M13" s="12"/>
      <c r="N13" s="12"/>
      <c r="O13" s="12"/>
      <c r="P13" s="12"/>
    </row>
    <row r="14" spans="1:18" ht="13.5" thickBot="1" x14ac:dyDescent="0.25">
      <c r="H14" s="101"/>
    </row>
    <row r="15" spans="1:18" ht="13.5" thickBot="1" x14ac:dyDescent="0.25">
      <c r="A15" s="64" t="s">
        <v>25</v>
      </c>
      <c r="B15" s="32" t="s">
        <v>174</v>
      </c>
      <c r="C15" s="62" t="s">
        <v>173</v>
      </c>
      <c r="D15" s="96" t="s">
        <v>168</v>
      </c>
      <c r="E15" s="128">
        <v>43922</v>
      </c>
      <c r="F15" s="136">
        <v>43556</v>
      </c>
      <c r="G15" s="136">
        <v>43191</v>
      </c>
      <c r="H15" s="33">
        <v>42826</v>
      </c>
      <c r="I15" s="33">
        <v>42461</v>
      </c>
      <c r="J15" s="33">
        <v>42095</v>
      </c>
      <c r="K15" s="33">
        <v>41730</v>
      </c>
      <c r="L15" s="33">
        <v>41365</v>
      </c>
      <c r="M15" s="33">
        <v>41000</v>
      </c>
      <c r="N15" s="33">
        <v>40634</v>
      </c>
      <c r="O15" s="33">
        <v>40269</v>
      </c>
      <c r="P15" s="33">
        <v>39904</v>
      </c>
      <c r="Q15" s="33">
        <v>39539</v>
      </c>
      <c r="R15" s="34">
        <v>39173</v>
      </c>
    </row>
    <row r="16" spans="1:18" x14ac:dyDescent="0.2">
      <c r="A16" s="66" t="s">
        <v>7</v>
      </c>
      <c r="B16" s="67">
        <f>(E16-F16)/F16</f>
        <v>-0.34101382488479265</v>
      </c>
      <c r="C16" s="144">
        <f>E16-'[1]Czech Republic'!E16</f>
        <v>-495</v>
      </c>
      <c r="D16" s="89">
        <f>F16-'[1]Czech Republic'!F16</f>
        <v>-201</v>
      </c>
      <c r="E16" s="68">
        <v>715</v>
      </c>
      <c r="F16" s="89">
        <v>1085</v>
      </c>
      <c r="G16" s="89">
        <v>845</v>
      </c>
      <c r="H16" s="89">
        <v>515</v>
      </c>
      <c r="I16" s="89">
        <v>635</v>
      </c>
      <c r="J16" s="89">
        <v>0</v>
      </c>
      <c r="K16" s="89">
        <v>905</v>
      </c>
      <c r="L16" s="89">
        <v>0</v>
      </c>
      <c r="M16" s="89">
        <v>16</v>
      </c>
      <c r="N16" s="89">
        <v>1</v>
      </c>
      <c r="O16" s="89">
        <v>0</v>
      </c>
      <c r="P16" s="89">
        <v>0</v>
      </c>
      <c r="Q16" s="89">
        <v>0</v>
      </c>
      <c r="R16" s="91">
        <v>0</v>
      </c>
    </row>
    <row r="17" spans="1:19" x14ac:dyDescent="0.2">
      <c r="A17" s="66" t="s">
        <v>42</v>
      </c>
      <c r="B17" s="67"/>
      <c r="C17" s="144">
        <f>E17-'[1]Czech Republic'!E17</f>
        <v>0</v>
      </c>
      <c r="D17" s="89">
        <f>F17-'[1]Czech Republic'!F17</f>
        <v>-1</v>
      </c>
      <c r="E17" s="68">
        <v>0</v>
      </c>
      <c r="F17" s="89">
        <v>0</v>
      </c>
      <c r="G17" s="89">
        <v>0</v>
      </c>
      <c r="H17" s="89">
        <v>0</v>
      </c>
      <c r="I17" s="89">
        <v>0</v>
      </c>
      <c r="J17" s="89">
        <v>0</v>
      </c>
      <c r="K17" s="89">
        <v>0</v>
      </c>
      <c r="L17" s="89">
        <v>0</v>
      </c>
      <c r="M17" s="89">
        <v>0</v>
      </c>
      <c r="N17" s="89">
        <v>0</v>
      </c>
      <c r="O17" s="89">
        <v>0</v>
      </c>
      <c r="P17" s="89">
        <v>0</v>
      </c>
      <c r="Q17" s="89">
        <v>0</v>
      </c>
      <c r="R17" s="91">
        <v>0</v>
      </c>
    </row>
    <row r="18" spans="1:19" x14ac:dyDescent="0.2">
      <c r="A18" s="66" t="s">
        <v>154</v>
      </c>
      <c r="B18" s="67">
        <f>(E18-F18)/F18</f>
        <v>-0.89473684210526316</v>
      </c>
      <c r="C18" s="144">
        <f>E18-'[1]Czech Republic'!E18</f>
        <v>-73</v>
      </c>
      <c r="D18" s="89">
        <f>F18-'[1]Czech Republic'!F18</f>
        <v>-18</v>
      </c>
      <c r="E18" s="68">
        <v>2</v>
      </c>
      <c r="F18" s="89">
        <v>19</v>
      </c>
      <c r="G18" s="89">
        <v>0</v>
      </c>
      <c r="H18" s="89">
        <v>3</v>
      </c>
      <c r="I18" s="89">
        <v>53</v>
      </c>
      <c r="J18" s="89">
        <v>3</v>
      </c>
      <c r="K18" s="89">
        <v>11</v>
      </c>
      <c r="L18" s="89">
        <v>0</v>
      </c>
      <c r="M18" s="89"/>
      <c r="N18" s="89"/>
      <c r="O18" s="89"/>
      <c r="P18" s="89"/>
      <c r="Q18" s="89"/>
      <c r="R18" s="91"/>
    </row>
    <row r="19" spans="1:19" x14ac:dyDescent="0.2">
      <c r="A19" s="66" t="s">
        <v>155</v>
      </c>
      <c r="B19" s="67">
        <f>(E19-F19)/F19</f>
        <v>-1</v>
      </c>
      <c r="C19" s="144">
        <f>E19-'[1]Czech Republic'!E19</f>
        <v>0</v>
      </c>
      <c r="D19" s="89">
        <f>F19-'[1]Czech Republic'!F19</f>
        <v>-50</v>
      </c>
      <c r="E19" s="68">
        <v>0</v>
      </c>
      <c r="F19" s="89">
        <v>20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/>
      <c r="N19" s="89"/>
      <c r="O19" s="89"/>
      <c r="P19" s="89"/>
      <c r="Q19" s="89"/>
      <c r="R19" s="91"/>
    </row>
    <row r="20" spans="1:19" ht="13.5" thickBot="1" x14ac:dyDescent="0.25">
      <c r="A20" s="66" t="s">
        <v>6</v>
      </c>
      <c r="B20" s="67">
        <f>(E20-F20)/F20</f>
        <v>-0.44444444444444442</v>
      </c>
      <c r="C20" s="144">
        <f>E20-'[1]Czech Republic'!E20</f>
        <v>-1</v>
      </c>
      <c r="D20" s="89">
        <f>F20-'[1]Czech Republic'!F20</f>
        <v>1</v>
      </c>
      <c r="E20" s="68">
        <v>5</v>
      </c>
      <c r="F20" s="89">
        <v>9</v>
      </c>
      <c r="G20" s="89">
        <v>0</v>
      </c>
      <c r="H20" s="89">
        <v>0</v>
      </c>
      <c r="I20" s="89">
        <v>18</v>
      </c>
      <c r="J20" s="89">
        <v>0</v>
      </c>
      <c r="K20" s="89">
        <v>1</v>
      </c>
      <c r="L20" s="89">
        <v>0</v>
      </c>
      <c r="M20" s="89">
        <v>0</v>
      </c>
      <c r="N20" s="89">
        <v>17</v>
      </c>
      <c r="O20" s="89">
        <v>0</v>
      </c>
      <c r="P20" s="89">
        <v>0</v>
      </c>
      <c r="Q20" s="89">
        <v>0</v>
      </c>
      <c r="R20" s="91">
        <v>0</v>
      </c>
      <c r="S20" s="1"/>
    </row>
    <row r="21" spans="1:19" ht="13.5" thickBot="1" x14ac:dyDescent="0.25">
      <c r="A21" s="64" t="s">
        <v>92</v>
      </c>
      <c r="B21" s="168">
        <f>(E21-F21)/F21</f>
        <v>-0.36275375110326569</v>
      </c>
      <c r="C21" s="171">
        <f>E21-'[1]Czech Republic'!E21</f>
        <v>-569</v>
      </c>
      <c r="D21" s="102">
        <f>F21-'[1]Czech Republic'!F21</f>
        <v>-269</v>
      </c>
      <c r="E21" s="76">
        <f>SUM(E16:E20)</f>
        <v>722</v>
      </c>
      <c r="F21" s="102">
        <v>1133</v>
      </c>
      <c r="G21" s="102">
        <f t="shared" ref="G21:L21" si="2">SUM(G16:G20)</f>
        <v>845</v>
      </c>
      <c r="H21" s="102">
        <f t="shared" si="2"/>
        <v>518</v>
      </c>
      <c r="I21" s="102">
        <f t="shared" si="2"/>
        <v>706</v>
      </c>
      <c r="J21" s="102">
        <f t="shared" si="2"/>
        <v>3</v>
      </c>
      <c r="K21" s="102">
        <f t="shared" si="2"/>
        <v>917</v>
      </c>
      <c r="L21" s="102">
        <f t="shared" si="2"/>
        <v>0</v>
      </c>
      <c r="M21" s="102">
        <f t="shared" ref="M21:R21" si="3">SUM(M16:M20)</f>
        <v>16</v>
      </c>
      <c r="N21" s="102">
        <f t="shared" si="3"/>
        <v>18</v>
      </c>
      <c r="O21" s="102">
        <f t="shared" si="3"/>
        <v>0</v>
      </c>
      <c r="P21" s="102">
        <f t="shared" si="3"/>
        <v>0</v>
      </c>
      <c r="Q21" s="103">
        <f t="shared" si="3"/>
        <v>0</v>
      </c>
      <c r="R21" s="104">
        <f t="shared" si="3"/>
        <v>0</v>
      </c>
      <c r="S21" s="1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zoomScale="80" zoomScaleNormal="80" workbookViewId="0">
      <selection activeCell="F21" sqref="F21"/>
    </sheetView>
  </sheetViews>
  <sheetFormatPr defaultRowHeight="12.75" x14ac:dyDescent="0.2"/>
  <cols>
    <col min="1" max="1" width="24.7109375" customWidth="1"/>
    <col min="2" max="2" width="10.7109375" customWidth="1"/>
    <col min="3" max="3" width="11.5703125" bestFit="1" customWidth="1"/>
    <col min="4" max="4" width="11.5703125" style="9" bestFit="1" customWidth="1"/>
    <col min="5" max="5" width="11.5703125" style="9" customWidth="1"/>
    <col min="6" max="6" width="11.5703125" customWidth="1"/>
    <col min="7" max="7" width="11.42578125" style="9" customWidth="1"/>
    <col min="8" max="8" width="10.7109375" customWidth="1"/>
    <col min="9" max="16" width="10.140625" style="9" bestFit="1" customWidth="1"/>
    <col min="17" max="18" width="10.140625" bestFit="1" customWidth="1"/>
  </cols>
  <sheetData>
    <row r="1" spans="1:19" ht="13.5" thickBot="1" x14ac:dyDescent="0.25">
      <c r="A1" s="161" t="s">
        <v>24</v>
      </c>
      <c r="B1" s="32" t="s">
        <v>174</v>
      </c>
      <c r="C1" s="166" t="s">
        <v>173</v>
      </c>
      <c r="D1" s="96" t="s">
        <v>168</v>
      </c>
      <c r="E1" s="169">
        <v>43922</v>
      </c>
      <c r="F1" s="136">
        <v>43556</v>
      </c>
      <c r="G1" s="136">
        <v>43191</v>
      </c>
      <c r="H1" s="33">
        <v>42826</v>
      </c>
      <c r="I1" s="33">
        <v>42461</v>
      </c>
      <c r="J1" s="33">
        <v>42095</v>
      </c>
      <c r="K1" s="33">
        <v>41730</v>
      </c>
      <c r="L1" s="33">
        <v>41365</v>
      </c>
      <c r="M1" s="33">
        <v>41000</v>
      </c>
      <c r="N1" s="33">
        <v>40634</v>
      </c>
      <c r="O1" s="33">
        <v>40269</v>
      </c>
      <c r="P1" s="33">
        <v>39904</v>
      </c>
      <c r="Q1" s="33">
        <v>39539</v>
      </c>
      <c r="R1" s="34">
        <v>39173</v>
      </c>
    </row>
    <row r="2" spans="1:19" x14ac:dyDescent="0.2">
      <c r="A2" s="53" t="s">
        <v>4</v>
      </c>
      <c r="B2" s="60"/>
      <c r="C2" s="145">
        <f>E2-[1]Denmark!E2</f>
        <v>0</v>
      </c>
      <c r="D2" s="84">
        <f>F2-[1]Denmark!F2</f>
        <v>0</v>
      </c>
      <c r="E2" s="163"/>
      <c r="F2" s="84"/>
      <c r="G2" s="84"/>
      <c r="H2" s="84"/>
      <c r="I2" s="84"/>
      <c r="J2" s="84"/>
      <c r="K2" s="84"/>
      <c r="L2" s="84"/>
      <c r="M2" s="84"/>
      <c r="N2" s="84"/>
      <c r="O2" s="84">
        <v>0</v>
      </c>
      <c r="P2" s="84">
        <v>0</v>
      </c>
      <c r="Q2" s="51"/>
      <c r="R2" s="78"/>
    </row>
    <row r="3" spans="1:19" x14ac:dyDescent="0.2">
      <c r="A3" s="53" t="s">
        <v>97</v>
      </c>
      <c r="B3" s="60"/>
      <c r="C3" s="145">
        <f>E3-[1]Denmark!E3</f>
        <v>-122</v>
      </c>
      <c r="D3" s="84">
        <f>F3-[1]Denmark!F3</f>
        <v>-229</v>
      </c>
      <c r="E3" s="167">
        <v>148</v>
      </c>
      <c r="F3" s="84">
        <v>0</v>
      </c>
      <c r="G3" s="84"/>
      <c r="H3" s="84">
        <v>7</v>
      </c>
      <c r="I3" s="84">
        <v>195</v>
      </c>
      <c r="J3" s="84">
        <v>0</v>
      </c>
      <c r="K3" s="84">
        <v>3</v>
      </c>
      <c r="L3" s="84">
        <v>3</v>
      </c>
      <c r="M3" s="84">
        <v>3</v>
      </c>
      <c r="N3" s="84">
        <v>15</v>
      </c>
      <c r="O3" s="84">
        <v>52</v>
      </c>
      <c r="P3" s="84">
        <v>2</v>
      </c>
      <c r="Q3" s="51"/>
      <c r="R3" s="78"/>
    </row>
    <row r="4" spans="1:19" x14ac:dyDescent="0.2">
      <c r="A4" s="53" t="s">
        <v>5</v>
      </c>
      <c r="B4" s="60"/>
      <c r="C4" s="145">
        <f>E4-[1]Denmark!E4</f>
        <v>0</v>
      </c>
      <c r="D4" s="84">
        <f>F4-[1]Denmark!F4</f>
        <v>0</v>
      </c>
      <c r="E4" s="163"/>
      <c r="F4" s="84"/>
      <c r="G4" s="84"/>
      <c r="H4" s="84"/>
      <c r="I4" s="84"/>
      <c r="J4" s="84"/>
      <c r="K4" s="84"/>
      <c r="L4" s="84"/>
      <c r="M4" s="84"/>
      <c r="N4" s="84"/>
      <c r="O4" s="84">
        <v>0</v>
      </c>
      <c r="P4" s="84">
        <v>0</v>
      </c>
      <c r="Q4" s="51"/>
      <c r="R4" s="78"/>
    </row>
    <row r="5" spans="1:19" x14ac:dyDescent="0.2">
      <c r="A5" s="53" t="s">
        <v>2</v>
      </c>
      <c r="B5" s="60">
        <f t="shared" ref="B5:B20" si="0">(E5-F5)/F5</f>
        <v>-0.94487320837927236</v>
      </c>
      <c r="C5" s="145">
        <f>E5-[1]Denmark!E5</f>
        <v>-664</v>
      </c>
      <c r="D5" s="84">
        <f>F5-[1]Denmark!F5</f>
        <v>-1123</v>
      </c>
      <c r="E5" s="163">
        <v>50</v>
      </c>
      <c r="F5" s="84">
        <v>907</v>
      </c>
      <c r="G5" s="84">
        <v>379</v>
      </c>
      <c r="H5" s="84">
        <v>647</v>
      </c>
      <c r="I5" s="84">
        <v>716</v>
      </c>
      <c r="J5" s="84">
        <v>185</v>
      </c>
      <c r="K5" s="84">
        <v>35</v>
      </c>
      <c r="L5" s="84">
        <v>3</v>
      </c>
      <c r="M5" s="84">
        <v>35</v>
      </c>
      <c r="N5" s="84"/>
      <c r="O5" s="84">
        <v>279</v>
      </c>
      <c r="P5" s="84">
        <v>307</v>
      </c>
      <c r="Q5" s="51"/>
      <c r="R5" s="78"/>
    </row>
    <row r="6" spans="1:19" x14ac:dyDescent="0.2">
      <c r="A6" s="53" t="s">
        <v>12</v>
      </c>
      <c r="B6" s="60">
        <f t="shared" si="0"/>
        <v>-1</v>
      </c>
      <c r="C6" s="145">
        <f>E6-[1]Denmark!E6</f>
        <v>0</v>
      </c>
      <c r="D6" s="84">
        <f>F6-[1]Denmark!F6</f>
        <v>0</v>
      </c>
      <c r="E6" s="163"/>
      <c r="F6" s="84">
        <v>8</v>
      </c>
      <c r="G6" s="84"/>
      <c r="H6" s="84">
        <v>3</v>
      </c>
      <c r="I6" s="84"/>
      <c r="J6" s="84"/>
      <c r="K6" s="84"/>
      <c r="L6" s="84"/>
      <c r="M6" s="84"/>
      <c r="N6" s="84"/>
      <c r="O6" s="84">
        <v>0</v>
      </c>
      <c r="P6" s="84">
        <v>0</v>
      </c>
      <c r="Q6" s="51"/>
      <c r="R6" s="78"/>
    </row>
    <row r="7" spans="1:19" x14ac:dyDescent="0.2">
      <c r="A7" s="53" t="s">
        <v>9</v>
      </c>
      <c r="B7" s="60">
        <f t="shared" si="0"/>
        <v>-1</v>
      </c>
      <c r="C7" s="145">
        <f>E7-[1]Denmark!E7</f>
        <v>-25</v>
      </c>
      <c r="D7" s="84">
        <f>F7-[1]Denmark!F7</f>
        <v>-134</v>
      </c>
      <c r="E7" s="163"/>
      <c r="F7" s="84">
        <v>135</v>
      </c>
      <c r="G7" s="84"/>
      <c r="H7" s="84">
        <v>53</v>
      </c>
      <c r="I7" s="84">
        <v>40</v>
      </c>
      <c r="J7" s="84"/>
      <c r="K7" s="84"/>
      <c r="L7" s="84"/>
      <c r="M7" s="84"/>
      <c r="N7" s="84"/>
      <c r="O7" s="84">
        <v>0</v>
      </c>
      <c r="P7" s="84">
        <v>0</v>
      </c>
      <c r="Q7" s="51"/>
      <c r="R7" s="78"/>
    </row>
    <row r="8" spans="1:19" x14ac:dyDescent="0.2">
      <c r="A8" s="53" t="s">
        <v>14</v>
      </c>
      <c r="B8" s="60"/>
      <c r="C8" s="145">
        <f>E8-[1]Denmark!E8</f>
        <v>0</v>
      </c>
      <c r="D8" s="84">
        <f>F8-[1]Denmark!F8</f>
        <v>0</v>
      </c>
      <c r="E8" s="163"/>
      <c r="F8" s="84"/>
      <c r="G8" s="84"/>
      <c r="H8" s="84"/>
      <c r="I8" s="84"/>
      <c r="J8" s="84"/>
      <c r="K8" s="84"/>
      <c r="L8" s="84"/>
      <c r="M8" s="84"/>
      <c r="N8" s="84"/>
      <c r="O8" s="84">
        <v>4</v>
      </c>
      <c r="P8" s="84">
        <v>105</v>
      </c>
      <c r="Q8" s="51"/>
      <c r="R8" s="78"/>
    </row>
    <row r="9" spans="1:19" x14ac:dyDescent="0.2">
      <c r="A9" s="162" t="s">
        <v>176</v>
      </c>
      <c r="B9" s="165"/>
      <c r="C9" s="170">
        <f>E9-[1]Denmark!E9</f>
        <v>0</v>
      </c>
      <c r="D9" s="84">
        <f>F9-[1]Denmark!F9</f>
        <v>0</v>
      </c>
      <c r="E9" s="163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51"/>
      <c r="R9" s="78"/>
    </row>
    <row r="10" spans="1:19" x14ac:dyDescent="0.2">
      <c r="A10" s="53" t="s">
        <v>15</v>
      </c>
      <c r="B10" s="60">
        <f t="shared" si="0"/>
        <v>-1</v>
      </c>
      <c r="C10" s="145">
        <f>E10-[1]Denmark!E10</f>
        <v>0</v>
      </c>
      <c r="D10" s="84">
        <f>F10-[1]Denmark!F10</f>
        <v>-65</v>
      </c>
      <c r="E10" s="163"/>
      <c r="F10" s="84">
        <v>35</v>
      </c>
      <c r="G10" s="84"/>
      <c r="H10" s="84"/>
      <c r="I10" s="84"/>
      <c r="J10" s="84"/>
      <c r="K10" s="84"/>
      <c r="L10" s="84"/>
      <c r="M10" s="84"/>
      <c r="N10" s="84"/>
      <c r="O10" s="84">
        <v>0</v>
      </c>
      <c r="P10" s="84">
        <v>0</v>
      </c>
      <c r="Q10" s="51"/>
      <c r="R10" s="78"/>
    </row>
    <row r="11" spans="1:19" x14ac:dyDescent="0.2">
      <c r="A11" s="53" t="s">
        <v>10</v>
      </c>
      <c r="B11" s="60">
        <f t="shared" si="0"/>
        <v>-1</v>
      </c>
      <c r="C11" s="145">
        <f>E11-[1]Denmark!E11</f>
        <v>-7</v>
      </c>
      <c r="D11" s="84">
        <f>F11-[1]Denmark!F11</f>
        <v>0</v>
      </c>
      <c r="E11" s="56"/>
      <c r="F11" s="84">
        <v>14</v>
      </c>
      <c r="G11" s="84"/>
      <c r="H11" s="84"/>
      <c r="I11" s="84"/>
      <c r="J11" s="84"/>
      <c r="K11" s="84"/>
      <c r="L11" s="84"/>
      <c r="M11" s="84"/>
      <c r="N11" s="84">
        <v>5</v>
      </c>
      <c r="O11" s="84">
        <v>7</v>
      </c>
      <c r="P11" s="84">
        <v>20</v>
      </c>
      <c r="Q11" s="51"/>
      <c r="R11" s="78"/>
      <c r="S11" s="1"/>
    </row>
    <row r="12" spans="1:19" x14ac:dyDescent="0.2">
      <c r="A12" s="53" t="s">
        <v>152</v>
      </c>
      <c r="B12" s="60"/>
      <c r="C12" s="145">
        <f>E12-[1]Denmark!E12</f>
        <v>0</v>
      </c>
      <c r="D12" s="84">
        <f>F12-[1]Denmark!F12</f>
        <v>-49</v>
      </c>
      <c r="E12" s="56"/>
      <c r="F12" s="84">
        <v>0</v>
      </c>
      <c r="G12" s="84"/>
      <c r="H12" s="84"/>
      <c r="I12" s="84">
        <v>0</v>
      </c>
      <c r="J12" s="84"/>
      <c r="K12" s="84"/>
      <c r="L12" s="84"/>
      <c r="M12" s="84"/>
      <c r="N12" s="84"/>
      <c r="O12" s="84">
        <v>0</v>
      </c>
      <c r="P12" s="84">
        <v>0</v>
      </c>
      <c r="Q12" s="51"/>
      <c r="R12" s="78"/>
      <c r="S12" s="1"/>
    </row>
    <row r="13" spans="1:19" x14ac:dyDescent="0.2">
      <c r="A13" s="53" t="s">
        <v>27</v>
      </c>
      <c r="B13" s="60">
        <f t="shared" si="0"/>
        <v>-1</v>
      </c>
      <c r="C13" s="145">
        <f>E13-[1]Denmark!E13</f>
        <v>0</v>
      </c>
      <c r="D13" s="84">
        <f>F13-[1]Denmark!F13</f>
        <v>0</v>
      </c>
      <c r="E13" s="56"/>
      <c r="F13" s="84">
        <v>51</v>
      </c>
      <c r="G13" s="84"/>
      <c r="H13" s="84">
        <v>15</v>
      </c>
      <c r="I13" s="84">
        <v>19</v>
      </c>
      <c r="J13" s="84">
        <v>45</v>
      </c>
      <c r="K13" s="84"/>
      <c r="L13" s="84">
        <v>35</v>
      </c>
      <c r="M13" s="84"/>
      <c r="N13" s="84"/>
      <c r="O13" s="84">
        <v>0</v>
      </c>
      <c r="P13" s="84">
        <v>0</v>
      </c>
      <c r="Q13" s="51">
        <v>326</v>
      </c>
      <c r="R13" s="78"/>
      <c r="S13" s="1"/>
    </row>
    <row r="14" spans="1:19" x14ac:dyDescent="0.2">
      <c r="A14" s="53" t="s">
        <v>26</v>
      </c>
      <c r="B14" s="60">
        <f t="shared" si="0"/>
        <v>-0.95095210617426429</v>
      </c>
      <c r="C14" s="145">
        <f>E14-[1]Denmark!E14</f>
        <v>-545</v>
      </c>
      <c r="D14" s="84">
        <f>F14-[1]Denmark!F14</f>
        <v>-473</v>
      </c>
      <c r="E14" s="56">
        <v>85</v>
      </c>
      <c r="F14" s="84">
        <v>1733</v>
      </c>
      <c r="G14" s="84">
        <v>577</v>
      </c>
      <c r="H14" s="84">
        <v>1704</v>
      </c>
      <c r="I14" s="84">
        <v>1762</v>
      </c>
      <c r="J14" s="84">
        <v>950</v>
      </c>
      <c r="K14" s="84">
        <v>669</v>
      </c>
      <c r="L14" s="84">
        <v>303</v>
      </c>
      <c r="M14" s="84">
        <v>669</v>
      </c>
      <c r="N14" s="84">
        <v>262</v>
      </c>
      <c r="O14" s="84">
        <v>480</v>
      </c>
      <c r="P14" s="84">
        <v>1159</v>
      </c>
      <c r="Q14" s="51"/>
      <c r="R14" s="78"/>
    </row>
    <row r="15" spans="1:19" x14ac:dyDescent="0.2">
      <c r="A15" s="53" t="s">
        <v>98</v>
      </c>
      <c r="B15" s="60"/>
      <c r="C15" s="145">
        <f>E15-[1]Denmark!E15</f>
        <v>0</v>
      </c>
      <c r="D15" s="84">
        <f>F15-[1]Denmark!F15</f>
        <v>0</v>
      </c>
      <c r="E15" s="56"/>
      <c r="F15" s="84"/>
      <c r="G15" s="84"/>
      <c r="H15" s="84"/>
      <c r="I15" s="84"/>
      <c r="J15" s="84"/>
      <c r="K15" s="84"/>
      <c r="L15" s="84"/>
      <c r="M15" s="84"/>
      <c r="N15" s="84"/>
      <c r="O15" s="84">
        <v>0</v>
      </c>
      <c r="P15" s="84">
        <v>0</v>
      </c>
      <c r="Q15" s="51"/>
      <c r="R15" s="78"/>
    </row>
    <row r="16" spans="1:19" x14ac:dyDescent="0.2">
      <c r="A16" s="53" t="s">
        <v>13</v>
      </c>
      <c r="B16" s="60"/>
      <c r="C16" s="145">
        <f>E16-[1]Denmark!E16</f>
        <v>0</v>
      </c>
      <c r="D16" s="84">
        <f>F16-[1]Denmark!F16</f>
        <v>0</v>
      </c>
      <c r="E16" s="56"/>
      <c r="F16" s="84"/>
      <c r="G16" s="84"/>
      <c r="H16" s="84"/>
      <c r="I16" s="84"/>
      <c r="J16" s="84"/>
      <c r="K16" s="84"/>
      <c r="L16" s="84"/>
      <c r="M16" s="84"/>
      <c r="N16" s="84"/>
      <c r="O16" s="84">
        <v>31</v>
      </c>
      <c r="P16" s="84">
        <v>21</v>
      </c>
      <c r="Q16" s="51"/>
      <c r="R16" s="78"/>
    </row>
    <row r="17" spans="1:18" x14ac:dyDescent="0.2">
      <c r="A17" s="53" t="s">
        <v>35</v>
      </c>
      <c r="B17" s="60"/>
      <c r="C17" s="145">
        <f>E17-[1]Denmark!E17</f>
        <v>0</v>
      </c>
      <c r="D17" s="84">
        <f>F17-[1]Denmark!F17</f>
        <v>-8</v>
      </c>
      <c r="E17" s="56"/>
      <c r="F17" s="84">
        <v>0</v>
      </c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51"/>
      <c r="R17" s="78"/>
    </row>
    <row r="18" spans="1:18" x14ac:dyDescent="0.2">
      <c r="A18" s="53" t="s">
        <v>87</v>
      </c>
      <c r="B18" s="60">
        <f t="shared" si="0"/>
        <v>-0.8496688741721854</v>
      </c>
      <c r="C18" s="145">
        <f>E18-[1]Denmark!E18</f>
        <v>-682</v>
      </c>
      <c r="D18" s="84">
        <f>F18-[1]Denmark!F18</f>
        <v>-438</v>
      </c>
      <c r="E18" s="56">
        <v>227</v>
      </c>
      <c r="F18" s="84">
        <v>1510</v>
      </c>
      <c r="G18" s="84"/>
      <c r="H18" s="84">
        <v>888</v>
      </c>
      <c r="I18" s="84">
        <v>886</v>
      </c>
      <c r="J18" s="84">
        <v>718</v>
      </c>
      <c r="K18" s="84">
        <v>484</v>
      </c>
      <c r="L18" s="84">
        <v>120</v>
      </c>
      <c r="M18" s="84">
        <v>484</v>
      </c>
      <c r="N18" s="84">
        <v>170</v>
      </c>
      <c r="O18" s="84">
        <v>126</v>
      </c>
      <c r="P18" s="84">
        <v>12</v>
      </c>
      <c r="Q18" s="51"/>
      <c r="R18" s="78"/>
    </row>
    <row r="19" spans="1:18" ht="13.5" thickBot="1" x14ac:dyDescent="0.25">
      <c r="A19" s="53" t="s">
        <v>6</v>
      </c>
      <c r="B19" s="60">
        <f t="shared" si="0"/>
        <v>0.96551724137931039</v>
      </c>
      <c r="C19" s="145">
        <f>E19-[1]Denmark!E19</f>
        <v>48</v>
      </c>
      <c r="D19" s="84">
        <f>F19-[1]Denmark!F19</f>
        <v>-30</v>
      </c>
      <c r="E19" s="56">
        <v>114</v>
      </c>
      <c r="F19" s="84">
        <v>58</v>
      </c>
      <c r="G19" s="84">
        <v>518</v>
      </c>
      <c r="H19" s="84">
        <v>57</v>
      </c>
      <c r="I19" s="84">
        <v>32</v>
      </c>
      <c r="J19" s="84">
        <v>28</v>
      </c>
      <c r="K19" s="84">
        <v>5</v>
      </c>
      <c r="L19" s="84">
        <v>9</v>
      </c>
      <c r="M19" s="84">
        <v>5</v>
      </c>
      <c r="N19" s="84">
        <v>14</v>
      </c>
      <c r="O19" s="84">
        <v>368</v>
      </c>
      <c r="P19" s="84">
        <v>77</v>
      </c>
      <c r="Q19" s="51">
        <v>12</v>
      </c>
      <c r="R19" s="78"/>
    </row>
    <row r="20" spans="1:18" ht="13.5" thickBot="1" x14ac:dyDescent="0.25">
      <c r="A20" s="52" t="s">
        <v>92</v>
      </c>
      <c r="B20" s="172">
        <f t="shared" si="0"/>
        <v>-0.85980678499213659</v>
      </c>
      <c r="C20" s="171">
        <f>E20-[1]Denmark!E20</f>
        <v>-1997</v>
      </c>
      <c r="D20" s="106">
        <f>F20-[1]Denmark!F20</f>
        <v>-2549</v>
      </c>
      <c r="E20" s="58">
        <f>SUM(E2:E19)</f>
        <v>624</v>
      </c>
      <c r="F20" s="106">
        <f>SUM(F2:F19)</f>
        <v>4451</v>
      </c>
      <c r="G20" s="106">
        <v>1474</v>
      </c>
      <c r="H20" s="106">
        <f>SUM(H2:H19)</f>
        <v>3374</v>
      </c>
      <c r="I20" s="106">
        <f>SUM(I2:I19)</f>
        <v>3650</v>
      </c>
      <c r="J20" s="106">
        <f>SUM(J2:J19)</f>
        <v>1926</v>
      </c>
      <c r="K20" s="106">
        <f>SUM(K2:K19)</f>
        <v>1196</v>
      </c>
      <c r="L20" s="106">
        <f>SUM(L2:L19)</f>
        <v>473</v>
      </c>
      <c r="M20" s="106">
        <f t="shared" ref="M20:R20" si="1">SUM(M2:M19)</f>
        <v>1196</v>
      </c>
      <c r="N20" s="106">
        <f t="shared" si="1"/>
        <v>466</v>
      </c>
      <c r="O20" s="106">
        <f t="shared" si="1"/>
        <v>1347</v>
      </c>
      <c r="P20" s="106">
        <f t="shared" si="1"/>
        <v>1703</v>
      </c>
      <c r="Q20" s="59">
        <f t="shared" si="1"/>
        <v>338</v>
      </c>
      <c r="R20" s="152">
        <f t="shared" si="1"/>
        <v>0</v>
      </c>
    </row>
    <row r="21" spans="1:18" x14ac:dyDescent="0.2">
      <c r="F21" s="9"/>
      <c r="H21" s="9"/>
    </row>
    <row r="22" spans="1:18" ht="13.5" thickBot="1" x14ac:dyDescent="0.25">
      <c r="B22" s="3"/>
      <c r="C22" s="3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3"/>
      <c r="R22" s="3"/>
    </row>
    <row r="23" spans="1:18" s="65" customFormat="1" ht="13.5" thickBot="1" x14ac:dyDescent="0.25">
      <c r="A23" s="64" t="s">
        <v>121</v>
      </c>
      <c r="B23" s="32" t="s">
        <v>174</v>
      </c>
      <c r="C23" s="62" t="s">
        <v>173</v>
      </c>
      <c r="D23" s="96" t="s">
        <v>168</v>
      </c>
      <c r="E23" s="128">
        <v>43922</v>
      </c>
      <c r="F23" s="136">
        <v>43556</v>
      </c>
      <c r="G23" s="136">
        <v>43191</v>
      </c>
      <c r="H23" s="33">
        <v>42826</v>
      </c>
      <c r="I23" s="33">
        <v>42461</v>
      </c>
      <c r="J23" s="33">
        <v>42095</v>
      </c>
      <c r="K23" s="33">
        <v>41730</v>
      </c>
      <c r="L23" s="33">
        <v>41365</v>
      </c>
      <c r="M23" s="33">
        <v>41000</v>
      </c>
      <c r="N23" s="33">
        <v>40634</v>
      </c>
      <c r="O23" s="33">
        <v>40269</v>
      </c>
      <c r="P23" s="33">
        <v>39904</v>
      </c>
      <c r="Q23" s="33">
        <v>39539</v>
      </c>
      <c r="R23" s="34">
        <v>39173</v>
      </c>
    </row>
    <row r="24" spans="1:18" s="63" customFormat="1" x14ac:dyDescent="0.2">
      <c r="A24" s="66" t="s">
        <v>7</v>
      </c>
      <c r="B24" s="67">
        <f>(E24-F24)/F24</f>
        <v>-1</v>
      </c>
      <c r="C24" s="145">
        <f>E24-[1]Denmark!E24</f>
        <v>-4</v>
      </c>
      <c r="D24" s="89">
        <f>F24-[1]Denmark!F24</f>
        <v>-139</v>
      </c>
      <c r="E24" s="68">
        <v>0</v>
      </c>
      <c r="F24" s="89">
        <v>28</v>
      </c>
      <c r="G24" s="89"/>
      <c r="H24" s="89"/>
      <c r="I24" s="89">
        <v>25</v>
      </c>
      <c r="J24" s="89">
        <v>0</v>
      </c>
      <c r="K24" s="89"/>
      <c r="L24" s="89">
        <v>0</v>
      </c>
      <c r="M24" s="89">
        <v>0</v>
      </c>
      <c r="N24" s="89">
        <v>0</v>
      </c>
      <c r="O24" s="89">
        <v>0</v>
      </c>
      <c r="P24" s="89">
        <f>SUM(S24:T24)</f>
        <v>0</v>
      </c>
      <c r="Q24" s="69">
        <f>B39</f>
        <v>0</v>
      </c>
      <c r="R24" s="79">
        <f>B61</f>
        <v>0</v>
      </c>
    </row>
    <row r="25" spans="1:18" s="63" customFormat="1" x14ac:dyDescent="0.2">
      <c r="A25" s="66" t="s">
        <v>156</v>
      </c>
      <c r="B25" s="67"/>
      <c r="C25" s="145">
        <f>E25-[1]Denmark!E25</f>
        <v>0</v>
      </c>
      <c r="D25" s="89">
        <f>F25-[1]Denmark!F25</f>
        <v>0</v>
      </c>
      <c r="E25" s="68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69"/>
      <c r="R25" s="79"/>
    </row>
    <row r="26" spans="1:18" s="63" customFormat="1" ht="13.5" thickBot="1" x14ac:dyDescent="0.25">
      <c r="A26" s="66" t="s">
        <v>6</v>
      </c>
      <c r="B26" s="67">
        <f>(E26-F26)/F26</f>
        <v>-0.79569892473118276</v>
      </c>
      <c r="C26" s="145">
        <f>E26-[1]Denmark!E26</f>
        <v>-7</v>
      </c>
      <c r="D26" s="89">
        <f>F26-[1]Denmark!F26</f>
        <v>0</v>
      </c>
      <c r="E26" s="68">
        <v>19</v>
      </c>
      <c r="F26" s="89">
        <v>93</v>
      </c>
      <c r="G26" s="89"/>
      <c r="H26" s="89">
        <v>0</v>
      </c>
      <c r="I26" s="89">
        <v>47</v>
      </c>
      <c r="J26" s="89">
        <v>0</v>
      </c>
      <c r="K26" s="89"/>
      <c r="L26" s="89">
        <v>0</v>
      </c>
      <c r="M26" s="89">
        <v>0</v>
      </c>
      <c r="N26" s="89">
        <v>0</v>
      </c>
      <c r="O26" s="89">
        <v>0</v>
      </c>
      <c r="P26" s="89">
        <f>SUM(S26:T26)</f>
        <v>0</v>
      </c>
      <c r="Q26" s="69">
        <v>0</v>
      </c>
      <c r="R26" s="79">
        <f>B70</f>
        <v>0</v>
      </c>
    </row>
    <row r="27" spans="1:18" s="63" customFormat="1" ht="13.5" thickBot="1" x14ac:dyDescent="0.25">
      <c r="A27" s="64" t="s">
        <v>92</v>
      </c>
      <c r="B27" s="168">
        <f>(E27-F27)/F27</f>
        <v>-0.84297520661157022</v>
      </c>
      <c r="C27" s="171">
        <f>E27-[1]Denmark!E27</f>
        <v>-11</v>
      </c>
      <c r="D27" s="102">
        <f>F27-[1]Denmark!F27</f>
        <v>-139</v>
      </c>
      <c r="E27" s="76">
        <f>SUM(E24:E26)</f>
        <v>19</v>
      </c>
      <c r="F27" s="102">
        <f>SUM(F24:F26)</f>
        <v>121</v>
      </c>
      <c r="G27" s="102">
        <v>0</v>
      </c>
      <c r="H27" s="102">
        <f>SUM(H26)</f>
        <v>0</v>
      </c>
      <c r="I27" s="102">
        <f>SUM(I24:I26)</f>
        <v>72</v>
      </c>
      <c r="J27" s="102">
        <f>SUM(J24:J26)</f>
        <v>0</v>
      </c>
      <c r="K27" s="102">
        <v>0</v>
      </c>
      <c r="L27" s="102">
        <f>SUM(L24:L26)</f>
        <v>0</v>
      </c>
      <c r="M27" s="102">
        <v>0</v>
      </c>
      <c r="N27" s="102">
        <v>0</v>
      </c>
      <c r="O27" s="102">
        <v>0</v>
      </c>
      <c r="P27" s="102">
        <f>SUM(P24:P26)</f>
        <v>0</v>
      </c>
      <c r="Q27" s="77">
        <f>SUM(Q24:Q26)</f>
        <v>0</v>
      </c>
      <c r="R27" s="81">
        <f>SUM(R24:R26)</f>
        <v>0</v>
      </c>
    </row>
    <row r="28" spans="1:18" s="63" customFormat="1" x14ac:dyDescent="0.2">
      <c r="D28" s="108"/>
      <c r="E28" s="108"/>
      <c r="G28" s="108"/>
      <c r="I28" s="108"/>
      <c r="J28" s="108"/>
      <c r="K28" s="108"/>
      <c r="L28" s="108"/>
      <c r="M28" s="108"/>
      <c r="N28" s="108"/>
      <c r="O28" s="108"/>
      <c r="P28" s="108"/>
    </row>
    <row r="29" spans="1:18" s="63" customFormat="1" x14ac:dyDescent="0.2">
      <c r="A29" s="65" t="s">
        <v>178</v>
      </c>
      <c r="D29" s="108"/>
      <c r="E29" s="108"/>
      <c r="G29" s="108"/>
      <c r="I29" s="108"/>
      <c r="J29" s="108"/>
      <c r="K29" s="108"/>
      <c r="L29" s="108"/>
      <c r="M29" s="108"/>
      <c r="N29" s="108"/>
      <c r="O29" s="108"/>
      <c r="P29" s="108"/>
    </row>
    <row r="30" spans="1:18" s="63" customFormat="1" x14ac:dyDescent="0.2">
      <c r="A30" s="63" t="s">
        <v>177</v>
      </c>
      <c r="D30" s="108"/>
      <c r="E30" s="108"/>
      <c r="G30" s="108"/>
      <c r="I30" s="108"/>
      <c r="J30" s="108"/>
      <c r="K30" s="108"/>
      <c r="L30" s="108"/>
      <c r="M30" s="108"/>
      <c r="N30" s="108"/>
      <c r="O30" s="108"/>
      <c r="P30" s="108"/>
    </row>
  </sheetData>
  <pageMargins left="0.75" right="0.75" top="1" bottom="1" header="0.5" footer="0.5"/>
  <pageSetup paperSize="9" scale="66" fitToHeight="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6"/>
  <sheetViews>
    <sheetView zoomScale="60" zoomScaleNormal="60" workbookViewId="0">
      <selection activeCell="C35" sqref="C35"/>
    </sheetView>
  </sheetViews>
  <sheetFormatPr defaultRowHeight="12.75" x14ac:dyDescent="0.2"/>
  <cols>
    <col min="1" max="1" width="24.7109375" customWidth="1"/>
    <col min="2" max="2" width="10.7109375" customWidth="1"/>
    <col min="3" max="3" width="11.5703125" bestFit="1" customWidth="1"/>
    <col min="4" max="4" width="11.5703125" style="9" bestFit="1" customWidth="1"/>
    <col min="5" max="5" width="11.5703125" style="9" customWidth="1"/>
    <col min="6" max="6" width="11.5703125" customWidth="1"/>
    <col min="7" max="7" width="12.28515625" style="9" customWidth="1"/>
    <col min="8" max="8" width="10.7109375" customWidth="1"/>
    <col min="9" max="15" width="10.7109375" style="9" customWidth="1"/>
  </cols>
  <sheetData>
    <row r="1" spans="1:16" ht="13.5" thickBot="1" x14ac:dyDescent="0.25">
      <c r="A1" s="52" t="s">
        <v>24</v>
      </c>
      <c r="B1" s="32" t="s">
        <v>174</v>
      </c>
      <c r="C1" s="62" t="s">
        <v>173</v>
      </c>
      <c r="D1" s="96" t="s">
        <v>168</v>
      </c>
      <c r="E1" s="128">
        <v>43922</v>
      </c>
      <c r="F1" s="136">
        <v>43556</v>
      </c>
      <c r="G1" s="136">
        <v>43191</v>
      </c>
      <c r="H1" s="33">
        <v>42826</v>
      </c>
      <c r="I1" s="33">
        <v>42461</v>
      </c>
      <c r="J1" s="33">
        <v>42095</v>
      </c>
      <c r="K1" s="33">
        <v>41730</v>
      </c>
      <c r="L1" s="33">
        <v>41365</v>
      </c>
      <c r="M1" s="33">
        <v>41000</v>
      </c>
      <c r="N1" s="33">
        <v>40634</v>
      </c>
      <c r="O1" s="50">
        <v>40269</v>
      </c>
    </row>
    <row r="2" spans="1:16" x14ac:dyDescent="0.2">
      <c r="A2" s="53" t="s">
        <v>120</v>
      </c>
      <c r="B2" s="60">
        <f>(E2-F2)/F2</f>
        <v>0.11762243616575974</v>
      </c>
      <c r="C2" s="145">
        <f>E2-[1]France!E2</f>
        <v>-1507</v>
      </c>
      <c r="D2" s="84">
        <f>F2-[1]France!F2</f>
        <v>-1401</v>
      </c>
      <c r="E2" s="56">
        <v>2670</v>
      </c>
      <c r="F2" s="84">
        <v>2389</v>
      </c>
      <c r="G2" s="84">
        <v>1367</v>
      </c>
      <c r="H2" s="124">
        <v>4481</v>
      </c>
      <c r="I2" s="124">
        <v>3650</v>
      </c>
      <c r="J2" s="124">
        <v>5089</v>
      </c>
      <c r="K2" s="124">
        <v>9919</v>
      </c>
      <c r="L2" s="124">
        <v>4061</v>
      </c>
      <c r="M2" s="124">
        <v>7705</v>
      </c>
      <c r="N2" s="124">
        <v>5121</v>
      </c>
      <c r="O2" s="117">
        <v>4681</v>
      </c>
    </row>
    <row r="3" spans="1:16" x14ac:dyDescent="0.2">
      <c r="A3" s="53" t="s">
        <v>125</v>
      </c>
      <c r="B3" s="60">
        <f t="shared" ref="B3:B26" si="0">(E3-F3)/F3</f>
        <v>0.18055178652193576</v>
      </c>
      <c r="C3" s="145">
        <f>E3-[1]France!E3</f>
        <v>-4870</v>
      </c>
      <c r="D3" s="84">
        <f>F3-[1]France!F3</f>
        <v>-3645</v>
      </c>
      <c r="E3" s="56">
        <v>13051</v>
      </c>
      <c r="F3" s="84">
        <v>11055</v>
      </c>
      <c r="G3" s="84">
        <v>8107</v>
      </c>
      <c r="H3" s="124">
        <v>10731</v>
      </c>
      <c r="I3" s="124">
        <v>12003</v>
      </c>
      <c r="J3" s="124">
        <v>8836</v>
      </c>
      <c r="K3" s="124">
        <v>16819</v>
      </c>
      <c r="L3" s="124">
        <v>6814</v>
      </c>
      <c r="M3" s="124">
        <v>10585</v>
      </c>
      <c r="N3" s="124">
        <v>10613</v>
      </c>
      <c r="O3" s="117">
        <v>11463</v>
      </c>
    </row>
    <row r="4" spans="1:16" x14ac:dyDescent="0.2">
      <c r="A4" s="53" t="s">
        <v>4</v>
      </c>
      <c r="B4" s="60">
        <f t="shared" si="0"/>
        <v>-0.49292929292929294</v>
      </c>
      <c r="C4" s="145">
        <f>E4-[1]France!E4</f>
        <v>-552</v>
      </c>
      <c r="D4" s="84">
        <f>F4-[1]France!F4</f>
        <v>-814</v>
      </c>
      <c r="E4" s="56">
        <v>251</v>
      </c>
      <c r="F4" s="84">
        <v>495</v>
      </c>
      <c r="G4" s="84">
        <v>111</v>
      </c>
      <c r="H4" s="84">
        <v>355</v>
      </c>
      <c r="I4" s="84">
        <v>321</v>
      </c>
      <c r="J4" s="84">
        <v>466</v>
      </c>
      <c r="K4" s="84">
        <v>474</v>
      </c>
      <c r="L4" s="84">
        <v>0</v>
      </c>
      <c r="M4" s="84">
        <v>1823</v>
      </c>
      <c r="N4" s="84">
        <v>618</v>
      </c>
      <c r="O4" s="86">
        <v>1313</v>
      </c>
    </row>
    <row r="5" spans="1:16" x14ac:dyDescent="0.2">
      <c r="A5" s="53" t="s">
        <v>11</v>
      </c>
      <c r="B5" s="60">
        <f t="shared" si="0"/>
        <v>8.4224812390228332E-2</v>
      </c>
      <c r="C5" s="145">
        <f>E5-[1]France!E5</f>
        <v>-5818</v>
      </c>
      <c r="D5" s="84">
        <f>F5-[1]France!F5</f>
        <v>-3615</v>
      </c>
      <c r="E5" s="56">
        <v>13581</v>
      </c>
      <c r="F5" s="84">
        <v>12526</v>
      </c>
      <c r="G5" s="84">
        <v>6837</v>
      </c>
      <c r="H5" s="84">
        <v>9657</v>
      </c>
      <c r="I5" s="84">
        <v>9282</v>
      </c>
      <c r="J5" s="84">
        <v>6854</v>
      </c>
      <c r="K5" s="84">
        <v>17116</v>
      </c>
      <c r="L5" s="84">
        <v>3480</v>
      </c>
      <c r="M5" s="84">
        <v>17539</v>
      </c>
      <c r="N5" s="84">
        <v>13383</v>
      </c>
      <c r="O5" s="86">
        <v>23892</v>
      </c>
    </row>
    <row r="6" spans="1:16" x14ac:dyDescent="0.2">
      <c r="A6" s="53" t="s">
        <v>29</v>
      </c>
      <c r="B6" s="60"/>
      <c r="C6" s="145">
        <f>E6-[1]France!E6</f>
        <v>0</v>
      </c>
      <c r="D6" s="84">
        <f>F6-[1]France!F6</f>
        <v>0</v>
      </c>
      <c r="E6" s="56">
        <v>0</v>
      </c>
      <c r="F6" s="84"/>
      <c r="G6" s="84"/>
      <c r="H6" s="84"/>
      <c r="I6" s="84"/>
      <c r="J6" s="84"/>
      <c r="K6" s="84"/>
      <c r="L6" s="84"/>
      <c r="M6" s="84">
        <v>851</v>
      </c>
      <c r="N6" s="84">
        <v>880</v>
      </c>
      <c r="O6" s="86">
        <v>1190</v>
      </c>
    </row>
    <row r="7" spans="1:16" x14ac:dyDescent="0.2">
      <c r="A7" s="53" t="s">
        <v>150</v>
      </c>
      <c r="B7" s="60">
        <f t="shared" si="0"/>
        <v>-0.28254847645429365</v>
      </c>
      <c r="C7" s="145">
        <f>E7-[1]France!E7</f>
        <v>-443</v>
      </c>
      <c r="D7" s="84">
        <f>F7-[1]France!F7</f>
        <v>-496</v>
      </c>
      <c r="E7" s="56">
        <v>2590</v>
      </c>
      <c r="F7" s="84">
        <v>3610</v>
      </c>
      <c r="G7" s="84">
        <v>2669</v>
      </c>
      <c r="H7" s="84">
        <v>3257</v>
      </c>
      <c r="I7" s="84">
        <v>2865</v>
      </c>
      <c r="J7" s="84">
        <v>1920</v>
      </c>
      <c r="K7" s="84">
        <v>1145</v>
      </c>
      <c r="L7" s="84">
        <v>987</v>
      </c>
      <c r="M7" s="84">
        <v>1591</v>
      </c>
      <c r="N7" s="84">
        <v>1556</v>
      </c>
      <c r="O7" s="86">
        <v>5</v>
      </c>
    </row>
    <row r="8" spans="1:16" x14ac:dyDescent="0.2">
      <c r="A8" s="53" t="s">
        <v>61</v>
      </c>
      <c r="B8" s="60">
        <f t="shared" si="0"/>
        <v>2.7092829034906434E-2</v>
      </c>
      <c r="C8" s="145">
        <f>E8-[1]France!E8</f>
        <v>-22784</v>
      </c>
      <c r="D8" s="84">
        <f>F8-[1]France!F8</f>
        <v>-14279</v>
      </c>
      <c r="E8" s="56">
        <v>36280</v>
      </c>
      <c r="F8" s="84">
        <v>35323</v>
      </c>
      <c r="G8" s="84">
        <v>29855</v>
      </c>
      <c r="H8" s="84">
        <v>32441</v>
      </c>
      <c r="I8" s="84">
        <v>31147</v>
      </c>
      <c r="J8" s="84">
        <v>26727</v>
      </c>
      <c r="K8" s="84">
        <v>26910</v>
      </c>
      <c r="L8" s="84">
        <v>12737</v>
      </c>
      <c r="M8" s="84">
        <v>21999</v>
      </c>
      <c r="N8" s="84">
        <v>19780</v>
      </c>
      <c r="O8" s="86">
        <v>19641</v>
      </c>
    </row>
    <row r="9" spans="1:16" x14ac:dyDescent="0.2">
      <c r="A9" s="53" t="s">
        <v>2</v>
      </c>
      <c r="B9" s="60">
        <f t="shared" si="0"/>
        <v>0.12820512820512819</v>
      </c>
      <c r="C9" s="145">
        <f>E9-[1]France!E9</f>
        <v>-319</v>
      </c>
      <c r="D9" s="84">
        <f>F9-[1]France!F9</f>
        <v>-441</v>
      </c>
      <c r="E9" s="56">
        <v>440</v>
      </c>
      <c r="F9" s="84">
        <v>390</v>
      </c>
      <c r="G9" s="84">
        <v>156</v>
      </c>
      <c r="H9" s="84">
        <v>332</v>
      </c>
      <c r="I9" s="84">
        <v>164</v>
      </c>
      <c r="J9" s="84">
        <v>180</v>
      </c>
      <c r="K9" s="84">
        <v>205</v>
      </c>
      <c r="L9" s="84">
        <v>340</v>
      </c>
      <c r="M9" s="84">
        <v>240</v>
      </c>
      <c r="N9" s="84">
        <v>456</v>
      </c>
      <c r="O9" s="86">
        <v>288</v>
      </c>
    </row>
    <row r="10" spans="1:16" x14ac:dyDescent="0.2">
      <c r="A10" s="53" t="s">
        <v>12</v>
      </c>
      <c r="B10" s="60">
        <f t="shared" si="0"/>
        <v>0.68754825190250357</v>
      </c>
      <c r="C10" s="145">
        <f>E10-[1]France!E10</f>
        <v>-5204</v>
      </c>
      <c r="D10" s="84">
        <f>F10-[1]France!F10</f>
        <v>-1885</v>
      </c>
      <c r="E10" s="56">
        <v>15301</v>
      </c>
      <c r="F10" s="84">
        <v>9067</v>
      </c>
      <c r="G10" s="84">
        <v>10232</v>
      </c>
      <c r="H10" s="84">
        <v>6641</v>
      </c>
      <c r="I10" s="84">
        <v>7783</v>
      </c>
      <c r="J10" s="84">
        <v>4763</v>
      </c>
      <c r="K10" s="84">
        <v>14021</v>
      </c>
      <c r="L10" s="84">
        <v>5643</v>
      </c>
      <c r="M10" s="84">
        <v>8962</v>
      </c>
      <c r="N10" s="84">
        <v>10853</v>
      </c>
      <c r="O10" s="86">
        <v>8033</v>
      </c>
    </row>
    <row r="11" spans="1:16" x14ac:dyDescent="0.2">
      <c r="A11" s="53" t="s">
        <v>9</v>
      </c>
      <c r="B11" s="60">
        <f t="shared" si="0"/>
        <v>-0.21199848120491077</v>
      </c>
      <c r="C11" s="145">
        <f>E11-[1]France!E11</f>
        <v>-18862</v>
      </c>
      <c r="D11" s="84">
        <f>F11-[1]France!F11</f>
        <v>-14903</v>
      </c>
      <c r="E11" s="56">
        <v>31130</v>
      </c>
      <c r="F11" s="84">
        <v>39505</v>
      </c>
      <c r="G11" s="84">
        <v>18601</v>
      </c>
      <c r="H11" s="84">
        <v>17921</v>
      </c>
      <c r="I11" s="84">
        <v>11011</v>
      </c>
      <c r="J11" s="84">
        <v>13880</v>
      </c>
      <c r="K11" s="84">
        <v>13303</v>
      </c>
      <c r="L11" s="84">
        <v>7253</v>
      </c>
      <c r="M11" s="84">
        <v>9652</v>
      </c>
      <c r="N11" s="84">
        <v>11214</v>
      </c>
      <c r="O11" s="86">
        <v>6833</v>
      </c>
    </row>
    <row r="12" spans="1:16" x14ac:dyDescent="0.2">
      <c r="A12" s="53" t="s">
        <v>3</v>
      </c>
      <c r="B12" s="60">
        <f t="shared" si="0"/>
        <v>0.11328623934520241</v>
      </c>
      <c r="C12" s="145">
        <f>E12-[1]France!E12</f>
        <v>-21096</v>
      </c>
      <c r="D12" s="84">
        <f>F12-[1]France!F12</f>
        <v>-20595</v>
      </c>
      <c r="E12" s="56">
        <v>128127</v>
      </c>
      <c r="F12" s="84">
        <v>115089</v>
      </c>
      <c r="G12" s="84">
        <v>107122</v>
      </c>
      <c r="H12" s="84">
        <v>125657</v>
      </c>
      <c r="I12" s="84">
        <v>125061</v>
      </c>
      <c r="J12" s="84">
        <v>123469</v>
      </c>
      <c r="K12" s="84">
        <v>151601</v>
      </c>
      <c r="L12" s="84">
        <v>64896</v>
      </c>
      <c r="M12" s="84">
        <v>122884</v>
      </c>
      <c r="N12" s="84">
        <v>128701</v>
      </c>
      <c r="O12" s="86">
        <v>142950</v>
      </c>
    </row>
    <row r="13" spans="1:16" x14ac:dyDescent="0.2">
      <c r="A13" s="53" t="s">
        <v>136</v>
      </c>
      <c r="B13" s="60">
        <f t="shared" si="0"/>
        <v>0.51671974522292996</v>
      </c>
      <c r="C13" s="145">
        <f>E13-[1]France!E13</f>
        <v>-650</v>
      </c>
      <c r="D13" s="84">
        <f>F13-[1]France!F13</f>
        <v>-539</v>
      </c>
      <c r="E13" s="56">
        <v>1905</v>
      </c>
      <c r="F13" s="84">
        <v>1256</v>
      </c>
      <c r="G13" s="84">
        <v>916</v>
      </c>
      <c r="H13" s="84">
        <v>937</v>
      </c>
      <c r="I13" s="84">
        <v>1041</v>
      </c>
      <c r="J13" s="84">
        <v>1266</v>
      </c>
      <c r="K13" s="84">
        <v>1550</v>
      </c>
      <c r="L13" s="84">
        <v>1151</v>
      </c>
      <c r="M13" s="84">
        <v>1255</v>
      </c>
      <c r="N13" s="84">
        <v>1342</v>
      </c>
      <c r="O13" s="86">
        <v>1312</v>
      </c>
    </row>
    <row r="14" spans="1:16" x14ac:dyDescent="0.2">
      <c r="A14" s="53" t="s">
        <v>17</v>
      </c>
      <c r="B14" s="60">
        <f t="shared" si="0"/>
        <v>-1.7004022105228736E-3</v>
      </c>
      <c r="C14" s="145">
        <f>E14-[1]France!E14</f>
        <v>-12325</v>
      </c>
      <c r="D14" s="84">
        <f>F14-[1]France!F14</f>
        <v>-9404</v>
      </c>
      <c r="E14" s="56">
        <v>30529</v>
      </c>
      <c r="F14" s="84">
        <v>30581</v>
      </c>
      <c r="G14" s="84">
        <v>32645</v>
      </c>
      <c r="H14" s="84">
        <v>21723</v>
      </c>
      <c r="I14" s="84">
        <v>36609</v>
      </c>
      <c r="J14" s="84">
        <v>27334</v>
      </c>
      <c r="K14" s="84">
        <v>36919</v>
      </c>
      <c r="L14" s="84">
        <v>19951</v>
      </c>
      <c r="M14" s="84">
        <v>23465</v>
      </c>
      <c r="N14" s="84">
        <v>18323</v>
      </c>
      <c r="O14" s="86">
        <v>24187</v>
      </c>
    </row>
    <row r="15" spans="1:16" x14ac:dyDescent="0.2">
      <c r="A15" s="53" t="s">
        <v>128</v>
      </c>
      <c r="B15" s="60">
        <f t="shared" si="0"/>
        <v>2.4256017505470457</v>
      </c>
      <c r="C15" s="145">
        <f>E15-[1]France!E15</f>
        <v>-1228</v>
      </c>
      <c r="D15" s="84">
        <f>F15-[1]France!F15</f>
        <v>-491</v>
      </c>
      <c r="E15" s="56">
        <v>3131</v>
      </c>
      <c r="F15" s="84">
        <v>914</v>
      </c>
      <c r="G15" s="84">
        <v>763</v>
      </c>
      <c r="H15" s="84">
        <v>1055</v>
      </c>
      <c r="I15" s="84">
        <v>629</v>
      </c>
      <c r="J15" s="84">
        <v>3153</v>
      </c>
      <c r="K15" s="84">
        <v>2251</v>
      </c>
      <c r="L15" s="84">
        <v>939</v>
      </c>
      <c r="M15" s="84">
        <v>427</v>
      </c>
      <c r="N15" s="84">
        <v>723</v>
      </c>
      <c r="O15" s="86">
        <v>128</v>
      </c>
    </row>
    <row r="16" spans="1:16" x14ac:dyDescent="0.2">
      <c r="A16" s="53" t="s">
        <v>10</v>
      </c>
      <c r="B16" s="60">
        <f t="shared" si="0"/>
        <v>0.18335684062059238</v>
      </c>
      <c r="C16" s="145">
        <f>E16-[1]France!E16</f>
        <v>-122</v>
      </c>
      <c r="D16" s="84">
        <f>F16-[1]France!F16</f>
        <v>-435</v>
      </c>
      <c r="E16" s="56">
        <v>839</v>
      </c>
      <c r="F16" s="84">
        <v>709</v>
      </c>
      <c r="G16" s="84">
        <v>333</v>
      </c>
      <c r="H16" s="84">
        <v>776</v>
      </c>
      <c r="I16" s="84">
        <v>616</v>
      </c>
      <c r="J16" s="84">
        <v>638</v>
      </c>
      <c r="K16" s="84">
        <v>993</v>
      </c>
      <c r="L16" s="84">
        <v>641</v>
      </c>
      <c r="M16" s="84">
        <v>1169</v>
      </c>
      <c r="N16" s="84">
        <v>1225</v>
      </c>
      <c r="O16" s="86">
        <v>1772</v>
      </c>
      <c r="P16" s="1"/>
    </row>
    <row r="17" spans="1:17" x14ac:dyDescent="0.2">
      <c r="A17" s="53" t="s">
        <v>127</v>
      </c>
      <c r="B17" s="60">
        <f t="shared" si="0"/>
        <v>0.67536782154722352</v>
      </c>
      <c r="C17" s="145">
        <f>E17-[1]France!E17</f>
        <v>-3916</v>
      </c>
      <c r="D17" s="84">
        <f>F17-[1]France!F17</f>
        <v>-3437</v>
      </c>
      <c r="E17" s="56">
        <v>10590</v>
      </c>
      <c r="F17" s="84">
        <v>6321</v>
      </c>
      <c r="G17" s="84">
        <v>6462</v>
      </c>
      <c r="H17" s="84">
        <v>4123</v>
      </c>
      <c r="I17" s="84">
        <v>3494</v>
      </c>
      <c r="J17" s="84">
        <v>2995</v>
      </c>
      <c r="K17" s="84">
        <v>2918</v>
      </c>
      <c r="L17" s="84">
        <v>1011</v>
      </c>
      <c r="M17" s="84">
        <v>1706</v>
      </c>
      <c r="N17" s="84">
        <v>2488</v>
      </c>
      <c r="O17" s="86">
        <v>6570</v>
      </c>
      <c r="P17" s="1"/>
    </row>
    <row r="18" spans="1:17" x14ac:dyDescent="0.2">
      <c r="A18" s="53" t="s">
        <v>27</v>
      </c>
      <c r="B18" s="60">
        <f t="shared" si="0"/>
        <v>5.4513421079904652E-2</v>
      </c>
      <c r="C18" s="145">
        <f>E18-[1]France!E18</f>
        <v>-1168</v>
      </c>
      <c r="D18" s="84">
        <f>F18-[1]France!F18</f>
        <v>-749</v>
      </c>
      <c r="E18" s="56">
        <v>10175</v>
      </c>
      <c r="F18" s="84">
        <v>9649</v>
      </c>
      <c r="G18" s="84">
        <v>7229</v>
      </c>
      <c r="H18" s="84">
        <v>6497</v>
      </c>
      <c r="I18" s="84">
        <v>6327</v>
      </c>
      <c r="J18" s="84">
        <v>2945</v>
      </c>
      <c r="K18" s="84">
        <v>5106</v>
      </c>
      <c r="L18" s="84">
        <v>1802</v>
      </c>
      <c r="M18" s="84">
        <v>4996</v>
      </c>
      <c r="N18" s="84">
        <v>5389</v>
      </c>
      <c r="O18" s="86">
        <v>7756</v>
      </c>
      <c r="P18" s="1"/>
    </row>
    <row r="19" spans="1:17" x14ac:dyDescent="0.2">
      <c r="A19" s="53" t="s">
        <v>126</v>
      </c>
      <c r="B19" s="60">
        <f t="shared" si="0"/>
        <v>0.43317776834959693</v>
      </c>
      <c r="C19" s="145">
        <f>E19-[1]France!E19</f>
        <v>-2969</v>
      </c>
      <c r="D19" s="84">
        <f>F19-[1]France!F19</f>
        <v>-3077</v>
      </c>
      <c r="E19" s="56">
        <v>10134</v>
      </c>
      <c r="F19" s="84">
        <v>7071</v>
      </c>
      <c r="G19" s="84">
        <v>5908</v>
      </c>
      <c r="H19" s="84">
        <v>5616</v>
      </c>
      <c r="I19" s="84">
        <v>4735</v>
      </c>
      <c r="J19" s="84">
        <v>2911</v>
      </c>
      <c r="K19" s="84">
        <v>7500</v>
      </c>
      <c r="L19" s="84">
        <v>1570</v>
      </c>
      <c r="M19" s="84">
        <v>2340</v>
      </c>
      <c r="N19" s="84">
        <v>4278</v>
      </c>
      <c r="O19" s="86">
        <v>6595</v>
      </c>
    </row>
    <row r="20" spans="1:17" s="16" customFormat="1" x14ac:dyDescent="0.2">
      <c r="A20" s="53" t="s">
        <v>119</v>
      </c>
      <c r="B20" s="60"/>
      <c r="C20" s="145">
        <f>E20-[1]France!E20</f>
        <v>-207</v>
      </c>
      <c r="D20" s="84">
        <f>F20-[1]France!F20</f>
        <v>-278</v>
      </c>
      <c r="E20" s="56">
        <v>0</v>
      </c>
      <c r="F20" s="84">
        <v>0</v>
      </c>
      <c r="G20" s="84">
        <v>0</v>
      </c>
      <c r="H20" s="84">
        <v>0</v>
      </c>
      <c r="I20" s="84">
        <v>11</v>
      </c>
      <c r="J20" s="84">
        <v>13</v>
      </c>
      <c r="K20" s="84">
        <v>27</v>
      </c>
      <c r="L20" s="84">
        <v>2</v>
      </c>
      <c r="M20" s="84">
        <v>21</v>
      </c>
      <c r="N20" s="84">
        <v>58</v>
      </c>
      <c r="O20" s="86">
        <v>2</v>
      </c>
      <c r="Q20"/>
    </row>
    <row r="21" spans="1:17" x14ac:dyDescent="0.2">
      <c r="A21" s="53" t="s">
        <v>88</v>
      </c>
      <c r="B21" s="60">
        <f t="shared" si="0"/>
        <v>-1.7376562831108285E-2</v>
      </c>
      <c r="C21" s="145">
        <f>E21-[1]France!E21</f>
        <v>-3858</v>
      </c>
      <c r="D21" s="84">
        <f>F21-[1]France!F21</f>
        <v>-2466</v>
      </c>
      <c r="E21" s="56">
        <v>4637</v>
      </c>
      <c r="F21" s="84">
        <v>4719</v>
      </c>
      <c r="G21" s="84">
        <v>2336</v>
      </c>
      <c r="H21" s="84">
        <v>2795</v>
      </c>
      <c r="I21" s="84">
        <v>4188</v>
      </c>
      <c r="J21" s="84">
        <v>2688</v>
      </c>
      <c r="K21" s="84">
        <v>10463</v>
      </c>
      <c r="L21" s="84">
        <v>1169</v>
      </c>
      <c r="M21" s="84">
        <v>7206</v>
      </c>
      <c r="N21" s="84">
        <v>6008</v>
      </c>
      <c r="O21" s="86">
        <v>6550</v>
      </c>
    </row>
    <row r="22" spans="1:17" x14ac:dyDescent="0.2">
      <c r="A22" s="53" t="s">
        <v>115</v>
      </c>
      <c r="B22" s="60">
        <f t="shared" si="0"/>
        <v>1.963855421686747</v>
      </c>
      <c r="C22" s="145">
        <f>E22-[1]France!E22</f>
        <v>-395</v>
      </c>
      <c r="D22" s="84">
        <f>F22-[1]France!F22</f>
        <v>-160</v>
      </c>
      <c r="E22" s="56">
        <v>738</v>
      </c>
      <c r="F22" s="84">
        <v>249</v>
      </c>
      <c r="G22" s="84">
        <v>87</v>
      </c>
      <c r="H22" s="84">
        <v>47</v>
      </c>
      <c r="I22" s="84">
        <v>276</v>
      </c>
      <c r="J22" s="84">
        <v>77</v>
      </c>
      <c r="K22" s="84">
        <v>612</v>
      </c>
      <c r="L22" s="84">
        <v>47</v>
      </c>
      <c r="M22" s="84">
        <v>526</v>
      </c>
      <c r="N22" s="84">
        <v>110</v>
      </c>
      <c r="O22" s="86">
        <v>619</v>
      </c>
    </row>
    <row r="23" spans="1:17" x14ac:dyDescent="0.2">
      <c r="A23" s="53" t="s">
        <v>129</v>
      </c>
      <c r="B23" s="60">
        <f t="shared" si="0"/>
        <v>0.23386983904828551</v>
      </c>
      <c r="C23" s="145">
        <f>E23-[1]France!E23</f>
        <v>-409</v>
      </c>
      <c r="D23" s="84">
        <f>F23-[1]France!F23</f>
        <v>-1377</v>
      </c>
      <c r="E23" s="56">
        <v>8816</v>
      </c>
      <c r="F23" s="84">
        <v>7145</v>
      </c>
      <c r="G23" s="84">
        <v>5320</v>
      </c>
      <c r="H23" s="84">
        <v>4816</v>
      </c>
      <c r="I23" s="84">
        <v>4121</v>
      </c>
      <c r="J23" s="84">
        <v>5445</v>
      </c>
      <c r="K23" s="84">
        <v>4683</v>
      </c>
      <c r="L23" s="84">
        <v>2855</v>
      </c>
      <c r="M23" s="84">
        <v>4507</v>
      </c>
      <c r="N23" s="84">
        <v>1341</v>
      </c>
      <c r="O23" s="86">
        <v>1197</v>
      </c>
    </row>
    <row r="24" spans="1:17" x14ac:dyDescent="0.2">
      <c r="A24" s="53" t="s">
        <v>124</v>
      </c>
      <c r="B24" s="60">
        <f t="shared" si="0"/>
        <v>-0.25804289544235925</v>
      </c>
      <c r="C24" s="145">
        <f>E24-[1]France!E24</f>
        <v>-654</v>
      </c>
      <c r="D24" s="84">
        <f>F24-[1]France!F24</f>
        <v>-407</v>
      </c>
      <c r="E24" s="56">
        <v>1107</v>
      </c>
      <c r="F24" s="84">
        <v>1492</v>
      </c>
      <c r="G24" s="84">
        <v>900</v>
      </c>
      <c r="H24" s="84">
        <v>2103</v>
      </c>
      <c r="I24" s="84">
        <v>1433</v>
      </c>
      <c r="J24" s="84">
        <v>964</v>
      </c>
      <c r="K24" s="84">
        <v>2199</v>
      </c>
      <c r="L24" s="84">
        <v>1136</v>
      </c>
      <c r="M24" s="84">
        <v>2161</v>
      </c>
      <c r="N24" s="84">
        <v>1060</v>
      </c>
      <c r="O24" s="86">
        <v>1938</v>
      </c>
    </row>
    <row r="25" spans="1:17" ht="13.5" thickBot="1" x14ac:dyDescent="0.25">
      <c r="A25" s="53" t="s">
        <v>6</v>
      </c>
      <c r="B25" s="60">
        <f t="shared" si="0"/>
        <v>-0.11129446277961129</v>
      </c>
      <c r="C25" s="145">
        <f>E25-[1]France!E25</f>
        <v>-2309</v>
      </c>
      <c r="D25" s="84">
        <f>F25-[1]France!F25</f>
        <v>-1155</v>
      </c>
      <c r="E25" s="56">
        <v>4847</v>
      </c>
      <c r="F25" s="84">
        <v>5454</v>
      </c>
      <c r="G25" s="84">
        <v>1969</v>
      </c>
      <c r="H25" s="84">
        <v>1752</v>
      </c>
      <c r="I25" s="84">
        <v>991</v>
      </c>
      <c r="J25" s="84">
        <v>1736</v>
      </c>
      <c r="K25" s="84">
        <v>4218</v>
      </c>
      <c r="L25" s="84">
        <v>3302</v>
      </c>
      <c r="M25" s="84">
        <v>1060</v>
      </c>
      <c r="N25" s="84">
        <v>4609</v>
      </c>
      <c r="O25" s="86">
        <v>6774</v>
      </c>
    </row>
    <row r="26" spans="1:17" ht="13.5" thickBot="1" x14ac:dyDescent="0.25">
      <c r="A26" s="52" t="s">
        <v>92</v>
      </c>
      <c r="B26" s="172">
        <f t="shared" si="0"/>
        <v>8.4784383411637035E-2</v>
      </c>
      <c r="C26" s="171">
        <f>E26-[1]France!E26</f>
        <v>-111665</v>
      </c>
      <c r="D26" s="106">
        <f>F26-[1]France!F26</f>
        <v>-86049</v>
      </c>
      <c r="E26" s="58">
        <f>SUM(E2:E25)</f>
        <v>330869</v>
      </c>
      <c r="F26" s="106">
        <f>SUM(F2:F25)</f>
        <v>305009</v>
      </c>
      <c r="G26" s="134">
        <f>SUM(G2:G25)</f>
        <v>249925</v>
      </c>
      <c r="H26" s="106">
        <f>SUM(H2:H25)</f>
        <v>263713</v>
      </c>
      <c r="I26" s="106">
        <f>SUM(I2:I25)</f>
        <v>267758</v>
      </c>
      <c r="J26" s="106">
        <f t="shared" ref="J26:O26" si="1">SUM(J2:J25)</f>
        <v>244349</v>
      </c>
      <c r="K26" s="106">
        <f t="shared" si="1"/>
        <v>330952</v>
      </c>
      <c r="L26" s="106">
        <f t="shared" si="1"/>
        <v>141787</v>
      </c>
      <c r="M26" s="106">
        <f t="shared" si="1"/>
        <v>254670</v>
      </c>
      <c r="N26" s="106">
        <f t="shared" si="1"/>
        <v>250129</v>
      </c>
      <c r="O26" s="111">
        <f t="shared" si="1"/>
        <v>285689</v>
      </c>
    </row>
    <row r="27" spans="1:17" x14ac:dyDescent="0.2">
      <c r="F27" s="9"/>
      <c r="H27" s="9"/>
    </row>
    <row r="28" spans="1:17" s="63" customFormat="1" ht="13.5" thickBot="1" x14ac:dyDescent="0.25">
      <c r="A28" s="93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</row>
    <row r="29" spans="1:17" s="63" customFormat="1" ht="13.5" thickBot="1" x14ac:dyDescent="0.25">
      <c r="A29" s="52" t="s">
        <v>25</v>
      </c>
      <c r="B29" s="32" t="s">
        <v>174</v>
      </c>
      <c r="C29" s="62" t="s">
        <v>173</v>
      </c>
      <c r="D29" s="96" t="s">
        <v>168</v>
      </c>
      <c r="E29" s="128">
        <v>43922</v>
      </c>
      <c r="F29" s="136">
        <v>43556</v>
      </c>
      <c r="G29" s="136">
        <v>43191</v>
      </c>
      <c r="H29" s="33">
        <v>42826</v>
      </c>
      <c r="I29" s="33">
        <v>42461</v>
      </c>
      <c r="J29" s="33">
        <v>42095</v>
      </c>
      <c r="K29" s="33">
        <v>41730</v>
      </c>
      <c r="L29" s="33">
        <v>41365</v>
      </c>
      <c r="M29" s="33">
        <v>41000</v>
      </c>
      <c r="N29" s="33">
        <v>40634</v>
      </c>
      <c r="O29" s="50">
        <v>40269</v>
      </c>
    </row>
    <row r="30" spans="1:17" x14ac:dyDescent="0.2">
      <c r="A30" s="66" t="s">
        <v>137</v>
      </c>
      <c r="B30" s="60">
        <f>(E30-F30)/F30</f>
        <v>-0.33948339483394835</v>
      </c>
      <c r="C30" s="145">
        <f>E30-[1]France!E30</f>
        <v>-430</v>
      </c>
      <c r="D30" s="84">
        <f>F30-[1]France!F30</f>
        <v>-830</v>
      </c>
      <c r="E30" s="56">
        <v>179</v>
      </c>
      <c r="F30" s="84">
        <v>271</v>
      </c>
      <c r="G30" s="84">
        <v>477</v>
      </c>
      <c r="H30" s="124">
        <v>587</v>
      </c>
      <c r="I30" s="124">
        <v>143</v>
      </c>
      <c r="J30" s="124">
        <v>1440</v>
      </c>
      <c r="K30" s="124">
        <v>1719</v>
      </c>
      <c r="L30" s="124">
        <v>34</v>
      </c>
      <c r="M30" s="124">
        <v>2282</v>
      </c>
      <c r="N30" s="124"/>
      <c r="O30" s="117"/>
    </row>
    <row r="31" spans="1:17" x14ac:dyDescent="0.2">
      <c r="A31" s="66" t="s">
        <v>138</v>
      </c>
      <c r="B31" s="60"/>
      <c r="C31" s="145">
        <f>E31-[1]France!E31</f>
        <v>0</v>
      </c>
      <c r="D31" s="84">
        <f>F31-[1]France!F31</f>
        <v>0</v>
      </c>
      <c r="E31" s="56"/>
      <c r="F31" s="84"/>
      <c r="G31" s="84"/>
      <c r="H31" s="124"/>
      <c r="I31" s="124">
        <v>0</v>
      </c>
      <c r="J31" s="124">
        <v>0</v>
      </c>
      <c r="K31" s="124">
        <v>0</v>
      </c>
      <c r="L31" s="124">
        <v>0</v>
      </c>
      <c r="M31" s="124">
        <v>0</v>
      </c>
      <c r="N31" s="124"/>
      <c r="O31" s="117"/>
    </row>
    <row r="32" spans="1:17" x14ac:dyDescent="0.2">
      <c r="A32" s="66" t="s">
        <v>7</v>
      </c>
      <c r="B32" s="60">
        <f t="shared" ref="B32:B38" si="2">(E32-F32)/F32</f>
        <v>-0.2402745995423341</v>
      </c>
      <c r="C32" s="145">
        <f>E32-[1]France!E32</f>
        <v>-753</v>
      </c>
      <c r="D32" s="84">
        <f>F32-[1]France!F32</f>
        <v>-894</v>
      </c>
      <c r="E32" s="56">
        <v>664</v>
      </c>
      <c r="F32" s="84">
        <v>874</v>
      </c>
      <c r="G32" s="84">
        <v>766</v>
      </c>
      <c r="H32" s="84">
        <v>482</v>
      </c>
      <c r="I32" s="84">
        <v>478</v>
      </c>
      <c r="J32" s="84">
        <v>549</v>
      </c>
      <c r="K32" s="84">
        <v>105</v>
      </c>
      <c r="L32" s="84">
        <v>171</v>
      </c>
      <c r="M32" s="84">
        <v>1254</v>
      </c>
      <c r="N32" s="84"/>
      <c r="O32" s="86"/>
    </row>
    <row r="33" spans="1:15" x14ac:dyDescent="0.2">
      <c r="A33" s="66" t="s">
        <v>93</v>
      </c>
      <c r="B33" s="60">
        <f t="shared" si="2"/>
        <v>-0.81739130434782614</v>
      </c>
      <c r="C33" s="145">
        <f>E33-[1]France!E33</f>
        <v>42</v>
      </c>
      <c r="D33" s="84">
        <f>F33-[1]France!F33</f>
        <v>-173</v>
      </c>
      <c r="E33" s="56">
        <v>42</v>
      </c>
      <c r="F33" s="84">
        <v>230</v>
      </c>
      <c r="G33" s="84">
        <v>163</v>
      </c>
      <c r="H33" s="84">
        <v>50</v>
      </c>
      <c r="I33" s="84">
        <v>102</v>
      </c>
      <c r="J33" s="84">
        <v>39</v>
      </c>
      <c r="K33" s="84">
        <v>11</v>
      </c>
      <c r="L33" s="84">
        <v>6</v>
      </c>
      <c r="M33" s="84">
        <v>139</v>
      </c>
      <c r="N33" s="84"/>
      <c r="O33" s="86"/>
    </row>
    <row r="34" spans="1:15" x14ac:dyDescent="0.2">
      <c r="A34" s="66" t="s">
        <v>139</v>
      </c>
      <c r="B34" s="60"/>
      <c r="C34" s="145">
        <f>E34-[1]France!E34</f>
        <v>0</v>
      </c>
      <c r="D34" s="84">
        <f>F34-[1]France!F34</f>
        <v>0</v>
      </c>
      <c r="E34" s="56">
        <v>0</v>
      </c>
      <c r="F34" s="84"/>
      <c r="G34" s="84"/>
      <c r="H34" s="84"/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4"/>
      <c r="O34" s="86"/>
    </row>
    <row r="35" spans="1:15" x14ac:dyDescent="0.2">
      <c r="A35" s="66" t="s">
        <v>140</v>
      </c>
      <c r="B35" s="60">
        <f t="shared" si="2"/>
        <v>-0.93114754098360653</v>
      </c>
      <c r="C35" s="145">
        <f>E35-[1]France!E35</f>
        <v>-146</v>
      </c>
      <c r="D35" s="84">
        <f>F35-[1]France!F35</f>
        <v>-261</v>
      </c>
      <c r="E35" s="56">
        <v>21</v>
      </c>
      <c r="F35" s="84">
        <v>305</v>
      </c>
      <c r="G35" s="84">
        <v>65</v>
      </c>
      <c r="H35" s="84">
        <v>29</v>
      </c>
      <c r="I35" s="84">
        <v>94</v>
      </c>
      <c r="J35" s="84">
        <v>38</v>
      </c>
      <c r="K35" s="84">
        <v>134</v>
      </c>
      <c r="L35" s="84">
        <v>23</v>
      </c>
      <c r="M35" s="84">
        <v>10</v>
      </c>
      <c r="N35" s="84"/>
      <c r="O35" s="86"/>
    </row>
    <row r="36" spans="1:15" x14ac:dyDescent="0.2">
      <c r="A36" s="66" t="s">
        <v>141</v>
      </c>
      <c r="B36" s="60"/>
      <c r="C36" s="145">
        <f>E36-[1]France!E36</f>
        <v>0</v>
      </c>
      <c r="D36" s="84">
        <f>F36-[1]France!F36</f>
        <v>0</v>
      </c>
      <c r="E36" s="56">
        <v>0</v>
      </c>
      <c r="F36" s="84"/>
      <c r="G36" s="84"/>
      <c r="H36" s="84"/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4"/>
      <c r="O36" s="86"/>
    </row>
    <row r="37" spans="1:15" ht="13.5" thickBot="1" x14ac:dyDescent="0.25">
      <c r="A37" s="66" t="s">
        <v>6</v>
      </c>
      <c r="B37" s="60">
        <f t="shared" si="2"/>
        <v>-0.64593301435406703</v>
      </c>
      <c r="C37" s="145">
        <f>E37-[1]France!E37</f>
        <v>-16</v>
      </c>
      <c r="D37" s="84">
        <f>F37-[1]France!F37</f>
        <v>-127</v>
      </c>
      <c r="E37" s="56">
        <v>74</v>
      </c>
      <c r="F37" s="84">
        <v>209</v>
      </c>
      <c r="G37" s="84">
        <v>28</v>
      </c>
      <c r="H37" s="84">
        <v>90</v>
      </c>
      <c r="I37" s="84">
        <v>3</v>
      </c>
      <c r="J37" s="84">
        <v>2</v>
      </c>
      <c r="K37" s="84">
        <v>87</v>
      </c>
      <c r="L37" s="84">
        <v>1</v>
      </c>
      <c r="M37" s="84">
        <v>10</v>
      </c>
      <c r="N37" s="84"/>
      <c r="O37" s="86"/>
    </row>
    <row r="38" spans="1:15" ht="13.5" thickBot="1" x14ac:dyDescent="0.25">
      <c r="A38" s="52" t="s">
        <v>92</v>
      </c>
      <c r="B38" s="172">
        <f t="shared" si="2"/>
        <v>-0.48120698782424565</v>
      </c>
      <c r="C38" s="171">
        <f>E38-[1]France!E38</f>
        <v>-1303</v>
      </c>
      <c r="D38" s="106">
        <f>F38-[1]France!F38</f>
        <v>-2285</v>
      </c>
      <c r="E38" s="58">
        <f>SUM(E30:E37)</f>
        <v>980</v>
      </c>
      <c r="F38" s="106">
        <f>SUM(F30:F37)</f>
        <v>1889</v>
      </c>
      <c r="G38" s="134">
        <f>SUM(G30:G37)</f>
        <v>1499</v>
      </c>
      <c r="H38" s="106">
        <f t="shared" ref="H38:M38" si="3">SUM(H30:H37)</f>
        <v>1238</v>
      </c>
      <c r="I38" s="106">
        <f t="shared" si="3"/>
        <v>820</v>
      </c>
      <c r="J38" s="106">
        <f t="shared" si="3"/>
        <v>2068</v>
      </c>
      <c r="K38" s="106">
        <f t="shared" si="3"/>
        <v>2056</v>
      </c>
      <c r="L38" s="106">
        <f t="shared" si="3"/>
        <v>235</v>
      </c>
      <c r="M38" s="106">
        <f t="shared" si="3"/>
        <v>3695</v>
      </c>
      <c r="N38" s="106"/>
      <c r="O38" s="111"/>
    </row>
    <row r="43" spans="1:15" x14ac:dyDescent="0.2">
      <c r="I43" s="124"/>
    </row>
    <row r="50" spans="9:9" x14ac:dyDescent="0.2">
      <c r="I50" s="124"/>
    </row>
    <row r="51" spans="9:9" x14ac:dyDescent="0.2">
      <c r="I51" s="84"/>
    </row>
    <row r="52" spans="9:9" x14ac:dyDescent="0.2">
      <c r="I52" s="84"/>
    </row>
    <row r="53" spans="9:9" x14ac:dyDescent="0.2">
      <c r="I53" s="84"/>
    </row>
    <row r="54" spans="9:9" x14ac:dyDescent="0.2">
      <c r="I54" s="84"/>
    </row>
    <row r="55" spans="9:9" x14ac:dyDescent="0.2">
      <c r="I55" s="84"/>
    </row>
    <row r="56" spans="9:9" x14ac:dyDescent="0.2">
      <c r="I56" s="84"/>
    </row>
  </sheetData>
  <pageMargins left="0.75" right="0.75" top="1" bottom="1" header="0.5" footer="0.5"/>
  <pageSetup paperSize="9" scale="66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17</vt:i4>
      </vt:variant>
      <vt:variant>
        <vt:lpstr>Benoemde bereiken</vt:lpstr>
      </vt:variant>
      <vt:variant>
        <vt:i4>3</vt:i4>
      </vt:variant>
    </vt:vector>
  </HeadingPairs>
  <TitlesOfParts>
    <vt:vector size="20" baseType="lpstr">
      <vt:lpstr>Intro</vt:lpstr>
      <vt:lpstr>US</vt:lpstr>
      <vt:lpstr>EU - country</vt:lpstr>
      <vt:lpstr>EU - variety</vt:lpstr>
      <vt:lpstr>Austria</vt:lpstr>
      <vt:lpstr>Belgium</vt:lpstr>
      <vt:lpstr>Czech Republic</vt:lpstr>
      <vt:lpstr>Denmark</vt:lpstr>
      <vt:lpstr>France</vt:lpstr>
      <vt:lpstr>Germany</vt:lpstr>
      <vt:lpstr>Italy</vt:lpstr>
      <vt:lpstr>Poland</vt:lpstr>
      <vt:lpstr>Portugal</vt:lpstr>
      <vt:lpstr>Spain</vt:lpstr>
      <vt:lpstr>Switzerland</vt:lpstr>
      <vt:lpstr>Netherlands</vt:lpstr>
      <vt:lpstr>UK</vt:lpstr>
      <vt:lpstr>'EU - country'!Afdrukbereik</vt:lpstr>
      <vt:lpstr>'EU - variety'!Afdrukbereik</vt:lpstr>
      <vt:lpstr>US!Afdrukbereik</vt:lpstr>
    </vt:vector>
  </TitlesOfParts>
  <Company>Freshfell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</dc:creator>
  <cp:lastModifiedBy>Gerben Daalmans</cp:lastModifiedBy>
  <cp:lastPrinted>2013-04-12T07:44:14Z</cp:lastPrinted>
  <dcterms:created xsi:type="dcterms:W3CDTF">2006-12-13T13:34:27Z</dcterms:created>
  <dcterms:modified xsi:type="dcterms:W3CDTF">2020-04-30T10:42:49Z</dcterms:modified>
</cp:coreProperties>
</file>