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0" yWindow="1220" windowWidth="25580" windowHeight="14960" tabRatio="670" firstSheet="4" activeTab="10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country'!$A$1:$S$36</definedName>
    <definedName name="_xlnm.Print_Area" localSheetId="3">'EU - variety'!$A$1:$Q$44</definedName>
  </definedNames>
  <calcPr fullCalcOnLoad="1"/>
</workbook>
</file>

<file path=xl/sharedStrings.xml><?xml version="1.0" encoding="utf-8"?>
<sst xmlns="http://schemas.openxmlformats.org/spreadsheetml/2006/main" count="520" uniqueCount="174">
  <si>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</si>
  <si>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</si>
  <si>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</si>
  <si>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</si>
  <si>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</si>
  <si>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</si>
  <si>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</si>
  <si>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</si>
  <si>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</si>
  <si>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</si>
  <si>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</si>
  <si>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</si>
  <si>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</si>
  <si>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</si>
  <si>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</si>
  <si>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</si>
  <si>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</si>
  <si>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</si>
  <si>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</si>
  <si>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</si>
  <si>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</si>
  <si>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</si>
  <si>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</si>
  <si>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</si>
  <si>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</si>
  <si>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</si>
  <si>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</si>
  <si>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</si>
  <si>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</si>
  <si>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</si>
  <si>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</si>
  <si>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</si>
  <si>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</si>
  <si>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</si>
  <si>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</si>
  <si>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</si>
  <si>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</si>
  <si>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</si>
  <si>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</si>
  <si>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</si>
  <si>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</si>
  <si>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</si>
  <si>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</si>
  <si>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</si>
  <si>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</si>
  <si>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</si>
  <si>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</si>
  <si>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</si>
  <si>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</si>
  <si>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</si>
  <si>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</si>
  <si>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</si>
  <si>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</si>
  <si>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</si>
  <si>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</si>
  <si>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</si>
  <si>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</si>
  <si>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</si>
  <si>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</si>
  <si>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</si>
  <si>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</si>
  <si>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</si>
  <si>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</si>
  <si>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</si>
  <si>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</si>
  <si>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</si>
  <si>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</si>
  <si>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</si>
  <si>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</si>
  <si>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</si>
  <si>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</si>
  <si>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</si>
  <si>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</si>
  <si>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</si>
  <si>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</si>
  <si>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</si>
  <si>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</si>
  <si>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</si>
  <si>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</si>
  <si>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</si>
  <si>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</si>
  <si>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</si>
  <si>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</si>
  <si>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</si>
  <si>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</si>
  <si>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</si>
  <si>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</si>
  <si>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</si>
  <si>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</si>
  <si>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</si>
  <si>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</si>
  <si>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</si>
  <si>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</si>
  <si>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</si>
  <si>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Rubinett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</si>
  <si>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</si>
  <si>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</si>
  <si>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</si>
  <si>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</si>
  <si>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</si>
  <si>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</si>
  <si>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</si>
  <si>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</si>
  <si>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</si>
  <si>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</si>
  <si>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</si>
  <si>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</si>
  <si>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</si>
  <si>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</si>
  <si>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</si>
  <si>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</si>
  <si>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</si>
  <si>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</si>
  <si>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</si>
  <si>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</si>
  <si>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</si>
  <si>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</si>
  <si>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</si>
  <si>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</si>
  <si>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</si>
  <si>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</si>
  <si>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</si>
  <si>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</si>
  <si>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</si>
  <si>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</si>
  <si>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</si>
  <si>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</si>
  <si>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</si>
  <si>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</si>
  <si>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</si>
  <si>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</si>
  <si>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</si>
  <si>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</si>
  <si>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</si>
  <si>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</si>
  <si>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</si>
  <si>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</si>
  <si>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</si>
  <si>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</si>
  <si>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</si>
  <si>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</si>
  <si>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</si>
  <si>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FEBRUARY</t>
  </si>
  <si>
    <t>Choupette</t>
  </si>
  <si>
    <t xml:space="preserve">* Other new varieties: Ariane, Belgica, Cameo, Diwa, Greenstar, Goldrush, Honey Crunch, Jazz, Junami, Kanzi, Mairac, Rubens, Tentation (temptation), Wellant, ... </t>
  </si>
  <si>
    <t>Portugal:</t>
  </si>
  <si>
    <t>ANP - Associação Nacional de Produtores de Pera Rocha</t>
  </si>
  <si>
    <t>Concorde</t>
  </si>
  <si>
    <t>Doyenne du Comice</t>
  </si>
  <si>
    <t>Golden Delicius</t>
  </si>
  <si>
    <t>Rocha</t>
  </si>
  <si>
    <t>Portugal</t>
  </si>
  <si>
    <t>Evelina</t>
  </si>
  <si>
    <t>Bohemica</t>
  </si>
  <si>
    <t>Lucasova</t>
  </si>
  <si>
    <t>Ligol</t>
  </si>
  <si>
    <t>AFRUCAT</t>
  </si>
  <si>
    <t>Honey crisp</t>
  </si>
  <si>
    <t>** From 12/2014 Cox's is included in others</t>
  </si>
  <si>
    <t>Cox**</t>
  </si>
  <si>
    <t>Durondeau</t>
  </si>
  <si>
    <t>Data on Rocha pears will only be published every two months (next update 1 March)</t>
  </si>
  <si>
    <t>Forelle</t>
  </si>
  <si>
    <t>United Kingdom**</t>
  </si>
  <si>
    <t>Portugal*</t>
  </si>
  <si>
    <t>** As of the 2016/ 2017 season, the UK works with a different methodology, which is why the figures are not comparable.</t>
  </si>
  <si>
    <t>Moved 2020</t>
  </si>
  <si>
    <t>Cosmic Crisp</t>
  </si>
  <si>
    <t xml:space="preserve">Please note that the figures per variety are just an estimation </t>
  </si>
  <si>
    <t>Growers and packers report a lot of problems in cold storage and a high % of apples is sent for processing</t>
  </si>
  <si>
    <t>British Apples &amp; Pears</t>
  </si>
  <si>
    <t>Overview Northern Hemisphere apple and pear stocks 2020-2021</t>
  </si>
  <si>
    <t>%2021/2020</t>
  </si>
  <si>
    <t>Moved 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</si>
</sst>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_€_-;\-* #,##0\ _€_-;_-* &quot;-&quot;??\ _€_-;_-@_-"/>
    <numFmt numFmtId="202" formatCode="[$-809]d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14" fontId="1" fillId="0" borderId="14" xfId="57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4" fontId="1" fillId="0" borderId="15" xfId="57" applyNumberFormat="1" applyFont="1" applyBorder="1" applyAlignment="1">
      <alignment horizontal="center"/>
      <protection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30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9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57" applyNumberFormat="1" applyFont="1" applyFill="1" applyBorder="1" applyAlignment="1">
      <alignment horizontal="center"/>
      <protection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9" fontId="1" fillId="30" borderId="10" xfId="57" applyNumberFormat="1" applyFont="1" applyFill="1" applyBorder="1">
      <alignment/>
      <protection/>
    </xf>
    <xf numFmtId="199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0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0" borderId="10" xfId="57" applyNumberFormat="1" applyFont="1" applyFill="1" applyBorder="1">
      <alignment/>
      <protection/>
    </xf>
    <xf numFmtId="199" fontId="1" fillId="34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99" fontId="0" fillId="30" borderId="0" xfId="0" applyNumberFormat="1" applyFont="1" applyFill="1" applyBorder="1" applyAlignment="1">
      <alignment horizontal="right"/>
    </xf>
    <xf numFmtId="199" fontId="1" fillId="30" borderId="14" xfId="57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99" fontId="0" fillId="30" borderId="0" xfId="57" applyNumberFormat="1" applyFont="1" applyFill="1" applyBorder="1" applyAlignment="1">
      <alignment horizontal="right"/>
      <protection/>
    </xf>
    <xf numFmtId="199" fontId="0" fillId="30" borderId="10" xfId="57" applyNumberFormat="1" applyFont="1" applyFill="1" applyBorder="1" applyAlignment="1">
      <alignment horizontal="right"/>
      <protection/>
    </xf>
    <xf numFmtId="3" fontId="0" fillId="36" borderId="0" xfId="0" applyNumberFormat="1" applyFill="1" applyBorder="1" applyAlignment="1">
      <alignment/>
    </xf>
    <xf numFmtId="199" fontId="0" fillId="34" borderId="0" xfId="0" applyNumberFormat="1" applyFill="1" applyBorder="1" applyAlignment="1">
      <alignment horizontal="right"/>
    </xf>
    <xf numFmtId="199" fontId="0" fillId="34" borderId="10" xfId="0" applyNumberFormat="1" applyFill="1" applyBorder="1" applyAlignment="1">
      <alignment horizontal="right"/>
    </xf>
    <xf numFmtId="199" fontId="1" fillId="34" borderId="10" xfId="0" applyNumberFormat="1" applyFon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30" borderId="10" xfId="0" applyNumberFormat="1" applyFont="1" applyFill="1" applyBorder="1" applyAlignment="1">
      <alignment horizontal="right"/>
    </xf>
    <xf numFmtId="199" fontId="1" fillId="30" borderId="10" xfId="0" applyNumberFormat="1" applyFont="1" applyFill="1" applyBorder="1" applyAlignment="1">
      <alignment horizontal="right"/>
    </xf>
    <xf numFmtId="3" fontId="0" fillId="0" borderId="0" xfId="57" applyNumberFormat="1" applyFont="1" applyFill="1" applyBorder="1" applyAlignment="1">
      <alignment horizontal="right"/>
      <protection/>
    </xf>
    <xf numFmtId="3" fontId="0" fillId="0" borderId="0" xfId="58" applyNumberFormat="1" applyFill="1" applyBorder="1">
      <alignment/>
      <protection/>
    </xf>
    <xf numFmtId="3" fontId="0" fillId="0" borderId="10" xfId="58" applyNumberFormat="1" applyFill="1" applyBorder="1">
      <alignment/>
      <protection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4" fontId="1" fillId="36" borderId="14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Border="1" applyAlignment="1">
      <alignment horizontal="right"/>
    </xf>
    <xf numFmtId="3" fontId="0" fillId="36" borderId="19" xfId="57" applyNumberFormat="1" applyFont="1" applyFill="1" applyBorder="1">
      <alignment/>
      <protection/>
    </xf>
    <xf numFmtId="3" fontId="0" fillId="36" borderId="0" xfId="57" applyNumberFormat="1" applyFont="1" applyFill="1" applyBorder="1" applyAlignment="1">
      <alignment horizontal="right"/>
      <protection/>
    </xf>
    <xf numFmtId="3" fontId="1" fillId="36" borderId="10" xfId="57" applyNumberFormat="1" applyFont="1" applyFill="1" applyBorder="1">
      <alignment/>
      <protection/>
    </xf>
    <xf numFmtId="3" fontId="1" fillId="0" borderId="14" xfId="57" applyNumberFormat="1" applyFont="1" applyFill="1" applyBorder="1">
      <alignment/>
      <protection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1" fillId="0" borderId="10" xfId="58" applyNumberFormat="1" applyFont="1" applyFill="1" applyBorder="1">
      <alignment/>
      <protection/>
    </xf>
    <xf numFmtId="19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10" xfId="0" applyNumberFormat="1" applyFont="1" applyFill="1" applyBorder="1" applyAlignment="1" quotePrefix="1">
      <alignment/>
    </xf>
    <xf numFmtId="3" fontId="0" fillId="37" borderId="1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0" fillId="37" borderId="0" xfId="57" applyNumberFormat="1" applyFont="1" applyFill="1" applyBorder="1" applyAlignment="1">
      <alignment horizontal="right"/>
      <protection/>
    </xf>
    <xf numFmtId="3" fontId="0" fillId="37" borderId="10" xfId="0" applyNumberFormat="1" applyFont="1" applyFill="1" applyBorder="1" applyAlignment="1">
      <alignment horizontal="right"/>
    </xf>
    <xf numFmtId="3" fontId="0" fillId="37" borderId="19" xfId="57" applyNumberFormat="1" applyFont="1" applyFill="1" applyBorder="1">
      <alignment/>
      <protection/>
    </xf>
    <xf numFmtId="3" fontId="1" fillId="37" borderId="10" xfId="57" applyNumberFormat="1" applyFont="1" applyFill="1" applyBorder="1">
      <alignment/>
      <protection/>
    </xf>
    <xf numFmtId="199" fontId="0" fillId="36" borderId="0" xfId="0" applyNumberFormat="1" applyFont="1" applyFill="1" applyBorder="1" applyAlignment="1">
      <alignment/>
    </xf>
    <xf numFmtId="199" fontId="0" fillId="36" borderId="10" xfId="0" applyNumberFormat="1" applyFont="1" applyFill="1" applyBorder="1" applyAlignment="1">
      <alignment/>
    </xf>
    <xf numFmtId="199" fontId="1" fillId="36" borderId="10" xfId="0" applyNumberFormat="1" applyFont="1" applyFill="1" applyBorder="1" applyAlignment="1">
      <alignment/>
    </xf>
    <xf numFmtId="199" fontId="0" fillId="37" borderId="0" xfId="0" applyNumberFormat="1" applyFont="1" applyFill="1" applyBorder="1" applyAlignment="1">
      <alignment/>
    </xf>
    <xf numFmtId="199" fontId="0" fillId="37" borderId="10" xfId="0" applyNumberFormat="1" applyFont="1" applyFill="1" applyBorder="1" applyAlignment="1">
      <alignment/>
    </xf>
    <xf numFmtId="199" fontId="1" fillId="37" borderId="10" xfId="0" applyNumberFormat="1" applyFont="1" applyFill="1" applyBorder="1" applyAlignment="1">
      <alignment/>
    </xf>
    <xf numFmtId="199" fontId="0" fillId="0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4" xfId="0" applyNumberFormat="1" applyFill="1" applyBorder="1" applyAlignment="1">
      <alignment/>
    </xf>
    <xf numFmtId="0" fontId="9" fillId="0" borderId="0" xfId="57" applyFont="1">
      <alignment/>
      <protection/>
    </xf>
    <xf numFmtId="0" fontId="1" fillId="33" borderId="13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199" fontId="1" fillId="30" borderId="14" xfId="0" applyNumberFormat="1" applyFont="1" applyFill="1" applyBorder="1" applyAlignment="1">
      <alignment/>
    </xf>
    <xf numFmtId="199" fontId="0" fillId="0" borderId="0" xfId="0" applyNumberFormat="1" applyFill="1" applyAlignment="1">
      <alignment/>
    </xf>
    <xf numFmtId="3" fontId="0" fillId="0" borderId="10" xfId="57" applyNumberForma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/WINDOWS/Temporary Internet Files/Content.IE5/5WGFLPOD/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4</xdr:col>
      <xdr:colOff>266700</xdr:colOff>
      <xdr:row>16</xdr:row>
      <xdr:rowOff>123825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" y="209550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Janu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4589</v>
          </cell>
          <cell r="F2">
            <v>8442</v>
          </cell>
        </row>
        <row r="3">
          <cell r="E3">
            <v>4288</v>
          </cell>
          <cell r="F3">
            <v>4307</v>
          </cell>
        </row>
        <row r="4">
          <cell r="E4">
            <v>23801</v>
          </cell>
          <cell r="F4">
            <v>3335</v>
          </cell>
        </row>
        <row r="5">
          <cell r="E5">
            <v>20047</v>
          </cell>
          <cell r="F5">
            <v>16941</v>
          </cell>
        </row>
        <row r="6">
          <cell r="E6">
            <v>251790</v>
          </cell>
          <cell r="F6">
            <v>241538</v>
          </cell>
        </row>
        <row r="7">
          <cell r="E7">
            <v>339716</v>
          </cell>
          <cell r="F7">
            <v>422877</v>
          </cell>
        </row>
        <row r="8">
          <cell r="E8">
            <v>75749</v>
          </cell>
          <cell r="F8">
            <v>127982</v>
          </cell>
        </row>
        <row r="9">
          <cell r="E9">
            <v>188771</v>
          </cell>
          <cell r="F9">
            <v>241138</v>
          </cell>
        </row>
        <row r="10">
          <cell r="E10">
            <v>198623</v>
          </cell>
          <cell r="F10">
            <v>196680</v>
          </cell>
        </row>
        <row r="11">
          <cell r="E11">
            <v>3967</v>
          </cell>
          <cell r="F11">
            <v>2820</v>
          </cell>
        </row>
        <row r="13">
          <cell r="E13">
            <v>1658</v>
          </cell>
          <cell r="F13">
            <v>1829</v>
          </cell>
        </row>
        <row r="14">
          <cell r="E14">
            <v>21877</v>
          </cell>
          <cell r="F14">
            <v>28756</v>
          </cell>
        </row>
        <row r="15">
          <cell r="E15">
            <v>800</v>
          </cell>
          <cell r="F15">
            <v>1353</v>
          </cell>
        </row>
        <row r="16">
          <cell r="E16">
            <v>838</v>
          </cell>
          <cell r="F16">
            <v>705</v>
          </cell>
        </row>
        <row r="18">
          <cell r="E18">
            <v>106124</v>
          </cell>
          <cell r="F18">
            <v>100827</v>
          </cell>
        </row>
        <row r="19">
          <cell r="E19">
            <v>333504</v>
          </cell>
          <cell r="F19">
            <v>426041</v>
          </cell>
        </row>
        <row r="20">
          <cell r="E20">
            <v>3392</v>
          </cell>
          <cell r="F20">
            <v>4269</v>
          </cell>
        </row>
        <row r="21">
          <cell r="E21">
            <v>400</v>
          </cell>
          <cell r="F21">
            <v>877</v>
          </cell>
        </row>
        <row r="22">
          <cell r="E22">
            <v>2268</v>
          </cell>
          <cell r="F22">
            <v>1715</v>
          </cell>
        </row>
        <row r="23">
          <cell r="E23">
            <v>172</v>
          </cell>
          <cell r="F23">
            <v>515</v>
          </cell>
        </row>
        <row r="25">
          <cell r="E25">
            <v>819</v>
          </cell>
          <cell r="F25">
            <v>934</v>
          </cell>
        </row>
        <row r="26">
          <cell r="E26">
            <v>136919</v>
          </cell>
          <cell r="F26">
            <v>145590</v>
          </cell>
        </row>
        <row r="27">
          <cell r="E27">
            <v>1720112</v>
          </cell>
          <cell r="F27">
            <v>1979471</v>
          </cell>
        </row>
        <row r="31">
          <cell r="E31">
            <v>110731.86</v>
          </cell>
          <cell r="F31">
            <v>117406.4</v>
          </cell>
        </row>
        <row r="32">
          <cell r="E32">
            <v>30488.06</v>
          </cell>
          <cell r="F32">
            <v>21583.66</v>
          </cell>
        </row>
        <row r="33">
          <cell r="E33">
            <v>12393.92</v>
          </cell>
          <cell r="F33">
            <v>14772.68</v>
          </cell>
        </row>
        <row r="34">
          <cell r="E34">
            <v>220.5</v>
          </cell>
          <cell r="F34">
            <v>910.42</v>
          </cell>
        </row>
        <row r="35">
          <cell r="E35">
            <v>76.48</v>
          </cell>
          <cell r="F35">
            <v>46.96</v>
          </cell>
        </row>
        <row r="36">
          <cell r="E36">
            <v>265.3</v>
          </cell>
          <cell r="F36">
            <v>149.9</v>
          </cell>
        </row>
        <row r="37">
          <cell r="E37">
            <v>260.44</v>
          </cell>
          <cell r="F37">
            <v>355.54</v>
          </cell>
        </row>
        <row r="39">
          <cell r="E39">
            <v>152.86</v>
          </cell>
          <cell r="F39">
            <v>88.14</v>
          </cell>
        </row>
        <row r="40">
          <cell r="E40">
            <v>21814.14</v>
          </cell>
          <cell r="F40">
            <v>12871.98</v>
          </cell>
        </row>
        <row r="41">
          <cell r="E41">
            <v>176403.56</v>
          </cell>
          <cell r="F41">
            <v>168185.68000000002</v>
          </cell>
        </row>
      </sheetData>
      <sheetData sheetId="2">
        <row r="2">
          <cell r="E2">
            <v>86897.29999999999</v>
          </cell>
          <cell r="F2">
            <v>86587</v>
          </cell>
        </row>
        <row r="3">
          <cell r="E3">
            <v>79163</v>
          </cell>
          <cell r="F3">
            <v>120233</v>
          </cell>
        </row>
        <row r="4">
          <cell r="E4">
            <v>46246</v>
          </cell>
          <cell r="F4">
            <v>31769</v>
          </cell>
        </row>
        <row r="5">
          <cell r="E5">
            <v>6675</v>
          </cell>
          <cell r="F5">
            <v>6406</v>
          </cell>
        </row>
        <row r="6">
          <cell r="E6">
            <v>571091</v>
          </cell>
          <cell r="F6">
            <v>672186</v>
          </cell>
        </row>
        <row r="7">
          <cell r="E7">
            <v>296711</v>
          </cell>
          <cell r="F7">
            <v>294822</v>
          </cell>
        </row>
        <row r="8">
          <cell r="E8">
            <v>1206472.3800000001</v>
          </cell>
          <cell r="F8">
            <v>1182560</v>
          </cell>
        </row>
        <row r="9">
          <cell r="E9">
            <v>1365000</v>
          </cell>
          <cell r="F9">
            <v>835000</v>
          </cell>
        </row>
        <row r="10">
          <cell r="E10">
            <v>0</v>
          </cell>
          <cell r="F10">
            <v>0</v>
          </cell>
        </row>
        <row r="11">
          <cell r="E11">
            <v>160769.07236124872</v>
          </cell>
          <cell r="F11">
            <v>264933.7484856361</v>
          </cell>
        </row>
        <row r="12">
          <cell r="E12">
            <v>57598</v>
          </cell>
          <cell r="F12">
            <v>55286</v>
          </cell>
        </row>
        <row r="13">
          <cell r="E13">
            <v>131939.6</v>
          </cell>
          <cell r="F13">
            <v>173000</v>
          </cell>
        </row>
        <row r="14">
          <cell r="E14">
            <v>87591</v>
          </cell>
          <cell r="F14">
            <v>107901</v>
          </cell>
        </row>
        <row r="15">
          <cell r="E15">
            <v>4096153.352361249</v>
          </cell>
          <cell r="F15">
            <v>3830683.748485636</v>
          </cell>
        </row>
        <row r="19">
          <cell r="E19">
            <v>237861</v>
          </cell>
          <cell r="F19">
            <v>174432</v>
          </cell>
        </row>
        <row r="20">
          <cell r="E20">
            <v>3027</v>
          </cell>
          <cell r="F20">
            <v>2592</v>
          </cell>
        </row>
        <row r="21">
          <cell r="E21">
            <v>117</v>
          </cell>
          <cell r="F21">
            <v>131</v>
          </cell>
        </row>
        <row r="22">
          <cell r="E22">
            <v>12309</v>
          </cell>
          <cell r="F22">
            <v>8720</v>
          </cell>
        </row>
        <row r="23">
          <cell r="E23">
            <v>3530</v>
          </cell>
          <cell r="F23">
            <v>4096</v>
          </cell>
        </row>
        <row r="24">
          <cell r="E24">
            <v>175514.74224877224</v>
          </cell>
          <cell r="F24">
            <v>82472.88012201035</v>
          </cell>
        </row>
        <row r="25">
          <cell r="E25">
            <v>26000</v>
          </cell>
          <cell r="F25">
            <v>7000</v>
          </cell>
        </row>
        <row r="26">
          <cell r="E26">
            <v>0</v>
          </cell>
          <cell r="F26">
            <v>86608</v>
          </cell>
        </row>
        <row r="27">
          <cell r="E27">
            <v>59919.244936402545</v>
          </cell>
          <cell r="F27">
            <v>67803.19805307449</v>
          </cell>
        </row>
        <row r="28">
          <cell r="E28">
            <v>7749</v>
          </cell>
          <cell r="F28">
            <v>8967</v>
          </cell>
        </row>
        <row r="29">
          <cell r="E29">
            <v>224242.50000000003</v>
          </cell>
          <cell r="F29">
            <v>200000</v>
          </cell>
        </row>
        <row r="30">
          <cell r="E30">
            <v>6441</v>
          </cell>
          <cell r="F30">
            <v>5480</v>
          </cell>
        </row>
        <row r="31">
          <cell r="E31">
            <v>756710.4871851748</v>
          </cell>
          <cell r="F31">
            <v>648302.0781750849</v>
          </cell>
        </row>
      </sheetData>
      <sheetData sheetId="3">
        <row r="2">
          <cell r="E2">
            <v>10000</v>
          </cell>
          <cell r="F2">
            <v>10000</v>
          </cell>
        </row>
        <row r="3">
          <cell r="E3">
            <v>10651.900000000001</v>
          </cell>
          <cell r="F3">
            <v>14203</v>
          </cell>
        </row>
        <row r="4">
          <cell r="E4">
            <v>125181.20000000001</v>
          </cell>
          <cell r="F4">
            <v>147244</v>
          </cell>
        </row>
        <row r="5">
          <cell r="E5">
            <v>21779</v>
          </cell>
          <cell r="F5">
            <v>31734</v>
          </cell>
        </row>
        <row r="6">
          <cell r="E6">
            <v>4308</v>
          </cell>
          <cell r="F6">
            <v>2933</v>
          </cell>
        </row>
        <row r="7">
          <cell r="E7">
            <v>0</v>
          </cell>
          <cell r="F7">
            <v>0</v>
          </cell>
        </row>
        <row r="8">
          <cell r="E8">
            <v>3279</v>
          </cell>
          <cell r="F8">
            <v>4313</v>
          </cell>
        </row>
        <row r="9">
          <cell r="E9">
            <v>187728.1</v>
          </cell>
          <cell r="F9">
            <v>172565</v>
          </cell>
        </row>
        <row r="10">
          <cell r="E10">
            <v>105326.20000000001</v>
          </cell>
          <cell r="F10">
            <v>142710</v>
          </cell>
        </row>
        <row r="11">
          <cell r="E11">
            <v>151970.28685567767</v>
          </cell>
          <cell r="F11">
            <v>156635.5056720919</v>
          </cell>
        </row>
        <row r="12">
          <cell r="E12">
            <v>441157.9871291073</v>
          </cell>
          <cell r="F12">
            <v>425905.2709502036</v>
          </cell>
        </row>
        <row r="13">
          <cell r="E13">
            <v>70734</v>
          </cell>
          <cell r="F13">
            <v>70171</v>
          </cell>
        </row>
        <row r="14">
          <cell r="E14">
            <v>886193.4171292199</v>
          </cell>
          <cell r="F14">
            <v>1059299.5498310828</v>
          </cell>
        </row>
        <row r="15">
          <cell r="E15">
            <v>179254.72200718723</v>
          </cell>
          <cell r="F15">
            <v>158067.05293633064</v>
          </cell>
        </row>
        <row r="16">
          <cell r="E16">
            <v>1257</v>
          </cell>
          <cell r="F16">
            <v>504</v>
          </cell>
        </row>
        <row r="17">
          <cell r="E17">
            <v>250232.85</v>
          </cell>
          <cell r="F17">
            <v>176001</v>
          </cell>
        </row>
        <row r="18">
          <cell r="E18">
            <v>211333.84999999998</v>
          </cell>
          <cell r="F18">
            <v>197098</v>
          </cell>
        </row>
        <row r="19">
          <cell r="E19">
            <v>42656</v>
          </cell>
          <cell r="F19">
            <v>65305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19212.28</v>
          </cell>
          <cell r="F22">
            <v>18978</v>
          </cell>
        </row>
        <row r="23">
          <cell r="E23">
            <v>78931.35</v>
          </cell>
          <cell r="F23">
            <v>50946</v>
          </cell>
        </row>
        <row r="24">
          <cell r="E24">
            <v>197217.46924005664</v>
          </cell>
          <cell r="F24">
            <v>176409.0290959271</v>
          </cell>
        </row>
        <row r="25">
          <cell r="E25">
            <v>205476</v>
          </cell>
          <cell r="F25">
            <v>159391</v>
          </cell>
        </row>
        <row r="26">
          <cell r="E26">
            <v>37654.7</v>
          </cell>
          <cell r="F26">
            <v>28846</v>
          </cell>
        </row>
        <row r="27">
          <cell r="E27">
            <v>142035</v>
          </cell>
          <cell r="F27">
            <v>110892</v>
          </cell>
        </row>
        <row r="28">
          <cell r="E28">
            <v>0</v>
          </cell>
          <cell r="F28">
            <v>0</v>
          </cell>
        </row>
        <row r="29">
          <cell r="E29">
            <v>523</v>
          </cell>
          <cell r="F29">
            <v>183</v>
          </cell>
        </row>
        <row r="30">
          <cell r="E30">
            <v>138653.85</v>
          </cell>
          <cell r="F30">
            <v>128677</v>
          </cell>
        </row>
        <row r="31">
          <cell r="E31">
            <v>573406.19</v>
          </cell>
          <cell r="F31">
            <v>321673.33999999997</v>
          </cell>
        </row>
        <row r="32">
          <cell r="E32">
            <v>4096153.3523612493</v>
          </cell>
          <cell r="F32">
            <v>3830683.748485636</v>
          </cell>
        </row>
        <row r="36">
          <cell r="E36">
            <v>101025.1546296997</v>
          </cell>
          <cell r="F36">
            <v>44161.4269880579</v>
          </cell>
        </row>
        <row r="37">
          <cell r="E37">
            <v>3353.1245684698097</v>
          </cell>
          <cell r="F37">
            <v>4332.243903672345</v>
          </cell>
        </row>
        <row r="38">
          <cell r="E38">
            <v>6511.091962797507</v>
          </cell>
          <cell r="F38">
            <v>5538.648065685891</v>
          </cell>
        </row>
        <row r="39">
          <cell r="E39">
            <v>529920.2701489942</v>
          </cell>
          <cell r="F39">
            <v>428365.0807016154</v>
          </cell>
        </row>
        <row r="40">
          <cell r="E40">
            <v>22140.231075301286</v>
          </cell>
          <cell r="F40">
            <v>15363.808785620826</v>
          </cell>
        </row>
        <row r="41">
          <cell r="E41">
            <v>21362.656410998356</v>
          </cell>
          <cell r="F41">
            <v>7123.033893967887</v>
          </cell>
        </row>
        <row r="42">
          <cell r="E42">
            <v>0</v>
          </cell>
          <cell r="F42">
            <v>86608</v>
          </cell>
        </row>
        <row r="43">
          <cell r="E43">
            <v>72397.95838891396</v>
          </cell>
          <cell r="F43">
            <v>56809.83583646455</v>
          </cell>
        </row>
        <row r="44">
          <cell r="E44">
            <v>756710.4871851748</v>
          </cell>
          <cell r="F44">
            <v>648302.0781750848</v>
          </cell>
        </row>
      </sheetData>
      <sheetData sheetId="4">
        <row r="2">
          <cell r="E2">
            <v>731.1999999999999</v>
          </cell>
          <cell r="F2">
            <v>588</v>
          </cell>
        </row>
        <row r="3">
          <cell r="E3">
            <v>9.1</v>
          </cell>
          <cell r="F3">
            <v>0</v>
          </cell>
        </row>
        <row r="4">
          <cell r="E4">
            <v>7279.8</v>
          </cell>
          <cell r="F4">
            <v>8588</v>
          </cell>
        </row>
        <row r="5">
          <cell r="E5">
            <v>1990.3</v>
          </cell>
          <cell r="F5">
            <v>2224</v>
          </cell>
        </row>
        <row r="6">
          <cell r="E6">
            <v>11903.55</v>
          </cell>
          <cell r="F6">
            <v>8704</v>
          </cell>
        </row>
        <row r="7">
          <cell r="E7">
            <v>2021.2</v>
          </cell>
          <cell r="F7">
            <v>2269</v>
          </cell>
        </row>
        <row r="8">
          <cell r="E8">
            <v>17376.2</v>
          </cell>
          <cell r="F8">
            <v>19126</v>
          </cell>
        </row>
        <row r="10">
          <cell r="E10">
            <v>30460.699999999997</v>
          </cell>
          <cell r="F10">
            <v>26312</v>
          </cell>
        </row>
        <row r="11">
          <cell r="E11">
            <v>417.3</v>
          </cell>
          <cell r="F11">
            <v>405</v>
          </cell>
        </row>
        <row r="12">
          <cell r="E12">
            <v>5534.849999999999</v>
          </cell>
          <cell r="F12">
            <v>5949</v>
          </cell>
        </row>
        <row r="13">
          <cell r="E13">
            <v>2375.65</v>
          </cell>
          <cell r="F13">
            <v>5164</v>
          </cell>
        </row>
        <row r="14">
          <cell r="E14">
            <v>0</v>
          </cell>
          <cell r="F14">
            <v>0</v>
          </cell>
        </row>
        <row r="15">
          <cell r="E15">
            <v>726</v>
          </cell>
          <cell r="F15">
            <v>373</v>
          </cell>
        </row>
        <row r="16">
          <cell r="E16">
            <v>728.5500000000001</v>
          </cell>
          <cell r="F16">
            <v>974</v>
          </cell>
        </row>
        <row r="17">
          <cell r="E17">
            <v>1648</v>
          </cell>
          <cell r="F17">
            <v>2059</v>
          </cell>
        </row>
        <row r="18">
          <cell r="E18">
            <v>54.6</v>
          </cell>
          <cell r="F18">
            <v>5</v>
          </cell>
        </row>
        <row r="19">
          <cell r="E19">
            <v>888.15</v>
          </cell>
          <cell r="F19">
            <v>2115</v>
          </cell>
        </row>
        <row r="20">
          <cell r="E20">
            <v>2752.15</v>
          </cell>
          <cell r="F20">
            <v>1732</v>
          </cell>
        </row>
        <row r="21">
          <cell r="E21">
            <v>86897.29999999999</v>
          </cell>
          <cell r="F21">
            <v>86587</v>
          </cell>
        </row>
      </sheetData>
      <sheetData sheetId="5">
        <row r="2">
          <cell r="E2">
            <v>3038</v>
          </cell>
          <cell r="F2">
            <v>648</v>
          </cell>
        </row>
        <row r="4">
          <cell r="E4">
            <v>308</v>
          </cell>
          <cell r="F4">
            <v>438</v>
          </cell>
        </row>
        <row r="6">
          <cell r="E6">
            <v>8509</v>
          </cell>
          <cell r="F6">
            <v>17497</v>
          </cell>
        </row>
        <row r="7">
          <cell r="E7">
            <v>34099</v>
          </cell>
          <cell r="F7">
            <v>53648</v>
          </cell>
        </row>
        <row r="8">
          <cell r="E8">
            <v>12251</v>
          </cell>
          <cell r="F8">
            <v>33072</v>
          </cell>
        </row>
        <row r="9">
          <cell r="E9">
            <v>20958</v>
          </cell>
          <cell r="F9">
            <v>14930</v>
          </cell>
        </row>
        <row r="10">
          <cell r="E10">
            <v>79163</v>
          </cell>
          <cell r="F10">
            <v>120233</v>
          </cell>
        </row>
        <row r="15">
          <cell r="E15">
            <v>228959</v>
          </cell>
          <cell r="F15">
            <v>168860</v>
          </cell>
        </row>
        <row r="16">
          <cell r="E16">
            <v>6019</v>
          </cell>
          <cell r="F16">
            <v>1709</v>
          </cell>
        </row>
        <row r="17">
          <cell r="E17">
            <v>291</v>
          </cell>
          <cell r="F17">
            <v>368</v>
          </cell>
        </row>
        <row r="18">
          <cell r="E18">
            <v>2592</v>
          </cell>
          <cell r="F18">
            <v>3495</v>
          </cell>
        </row>
        <row r="19">
          <cell r="E19">
            <v>237861</v>
          </cell>
          <cell r="F19">
            <v>174432</v>
          </cell>
        </row>
      </sheetData>
      <sheetData sheetId="6">
        <row r="2">
          <cell r="E2">
            <v>4871</v>
          </cell>
          <cell r="F2">
            <v>3256</v>
          </cell>
        </row>
        <row r="3">
          <cell r="E3">
            <v>5991</v>
          </cell>
          <cell r="F3">
            <v>3506</v>
          </cell>
        </row>
        <row r="4">
          <cell r="E4">
            <v>360</v>
          </cell>
          <cell r="F4">
            <v>169</v>
          </cell>
        </row>
        <row r="5">
          <cell r="E5">
            <v>13226</v>
          </cell>
          <cell r="F5">
            <v>11866</v>
          </cell>
        </row>
        <row r="6">
          <cell r="E6">
            <v>6955</v>
          </cell>
          <cell r="F6">
            <v>4334</v>
          </cell>
        </row>
        <row r="7">
          <cell r="E7">
            <v>7387</v>
          </cell>
          <cell r="F7">
            <v>4624</v>
          </cell>
        </row>
        <row r="8">
          <cell r="E8">
            <v>1665</v>
          </cell>
          <cell r="F8">
            <v>1125</v>
          </cell>
        </row>
        <row r="9">
          <cell r="E9">
            <v>1474</v>
          </cell>
          <cell r="F9">
            <v>697</v>
          </cell>
        </row>
        <row r="10">
          <cell r="E10">
            <v>303</v>
          </cell>
          <cell r="F10">
            <v>48</v>
          </cell>
        </row>
        <row r="11">
          <cell r="E11">
            <v>4014</v>
          </cell>
          <cell r="F11">
            <v>2144</v>
          </cell>
        </row>
        <row r="12">
          <cell r="E12">
            <v>46246</v>
          </cell>
          <cell r="F12">
            <v>31769</v>
          </cell>
        </row>
        <row r="16">
          <cell r="E16">
            <v>1653</v>
          </cell>
          <cell r="F16">
            <v>2150</v>
          </cell>
        </row>
        <row r="17">
          <cell r="E17">
            <v>0</v>
          </cell>
          <cell r="F17">
            <v>0</v>
          </cell>
        </row>
        <row r="18">
          <cell r="E18">
            <v>406</v>
          </cell>
          <cell r="F18">
            <v>111</v>
          </cell>
        </row>
        <row r="19">
          <cell r="E19">
            <v>833</v>
          </cell>
          <cell r="F19">
            <v>253</v>
          </cell>
        </row>
        <row r="20">
          <cell r="E20">
            <v>135</v>
          </cell>
          <cell r="F20">
            <v>78</v>
          </cell>
        </row>
        <row r="21">
          <cell r="E21">
            <v>3027</v>
          </cell>
          <cell r="F21">
            <v>2592</v>
          </cell>
        </row>
      </sheetData>
      <sheetData sheetId="7">
        <row r="2">
          <cell r="F2">
            <v>0</v>
          </cell>
        </row>
        <row r="3">
          <cell r="E3">
            <v>15</v>
          </cell>
          <cell r="F3">
            <v>370</v>
          </cell>
        </row>
        <row r="4">
          <cell r="E4">
            <v>45</v>
          </cell>
          <cell r="F4">
            <v>0</v>
          </cell>
        </row>
        <row r="5">
          <cell r="E5">
            <v>2499</v>
          </cell>
          <cell r="F5">
            <v>2504</v>
          </cell>
        </row>
        <row r="6">
          <cell r="F6">
            <v>5</v>
          </cell>
        </row>
        <row r="7">
          <cell r="E7">
            <v>156</v>
          </cell>
          <cell r="F7">
            <v>186</v>
          </cell>
        </row>
        <row r="9">
          <cell r="E9">
            <v>3</v>
          </cell>
          <cell r="F9">
            <v>6</v>
          </cell>
        </row>
        <row r="10">
          <cell r="F10">
            <v>0</v>
          </cell>
        </row>
        <row r="11">
          <cell r="F11">
            <v>15</v>
          </cell>
        </row>
        <row r="12">
          <cell r="F12">
            <v>0</v>
          </cell>
        </row>
        <row r="13">
          <cell r="E13">
            <v>28</v>
          </cell>
        </row>
        <row r="14">
          <cell r="E14">
            <v>1684</v>
          </cell>
          <cell r="F14">
            <v>1122</v>
          </cell>
        </row>
        <row r="15">
          <cell r="F15">
            <v>0</v>
          </cell>
        </row>
        <row r="17">
          <cell r="F17">
            <v>0</v>
          </cell>
        </row>
        <row r="18">
          <cell r="E18">
            <v>1581</v>
          </cell>
          <cell r="F18">
            <v>1523</v>
          </cell>
        </row>
        <row r="19">
          <cell r="E19">
            <v>664</v>
          </cell>
          <cell r="F19">
            <v>675</v>
          </cell>
        </row>
        <row r="20">
          <cell r="E20">
            <v>6675</v>
          </cell>
          <cell r="F20">
            <v>6406</v>
          </cell>
        </row>
        <row r="24">
          <cell r="E24">
            <v>102</v>
          </cell>
          <cell r="F24">
            <v>60</v>
          </cell>
        </row>
        <row r="26">
          <cell r="E26">
            <v>15</v>
          </cell>
          <cell r="F26">
            <v>71</v>
          </cell>
        </row>
        <row r="27">
          <cell r="E27">
            <v>117</v>
          </cell>
          <cell r="F27">
            <v>131</v>
          </cell>
        </row>
      </sheetData>
      <sheetData sheetId="8">
        <row r="2">
          <cell r="E2">
            <v>7162</v>
          </cell>
          <cell r="F2">
            <v>6878</v>
          </cell>
        </row>
        <row r="3">
          <cell r="E3">
            <v>22007</v>
          </cell>
          <cell r="F3">
            <v>25621</v>
          </cell>
        </row>
        <row r="4">
          <cell r="E4">
            <v>1663</v>
          </cell>
          <cell r="F4">
            <v>1717</v>
          </cell>
        </row>
        <row r="5">
          <cell r="E5">
            <v>17643</v>
          </cell>
          <cell r="F5">
            <v>29233</v>
          </cell>
        </row>
        <row r="7">
          <cell r="E7">
            <v>3045</v>
          </cell>
          <cell r="F7">
            <v>5127</v>
          </cell>
        </row>
        <row r="8">
          <cell r="E8">
            <v>107316</v>
          </cell>
          <cell r="F8">
            <v>103663</v>
          </cell>
        </row>
        <row r="9">
          <cell r="E9">
            <v>945</v>
          </cell>
          <cell r="F9">
            <v>1689</v>
          </cell>
        </row>
        <row r="10">
          <cell r="E10">
            <v>21582</v>
          </cell>
          <cell r="F10">
            <v>28842</v>
          </cell>
        </row>
        <row r="11">
          <cell r="E11">
            <v>97284</v>
          </cell>
          <cell r="F11">
            <v>101978</v>
          </cell>
        </row>
        <row r="12">
          <cell r="E12">
            <v>130533</v>
          </cell>
          <cell r="F12">
            <v>192996</v>
          </cell>
        </row>
        <row r="13">
          <cell r="E13">
            <v>2825</v>
          </cell>
          <cell r="F13">
            <v>3039</v>
          </cell>
        </row>
        <row r="14">
          <cell r="E14">
            <v>62637</v>
          </cell>
          <cell r="F14">
            <v>67806</v>
          </cell>
        </row>
        <row r="15">
          <cell r="E15">
            <v>1665</v>
          </cell>
          <cell r="F15">
            <v>7337</v>
          </cell>
        </row>
        <row r="16">
          <cell r="E16">
            <v>1120</v>
          </cell>
          <cell r="F16">
            <v>1340</v>
          </cell>
        </row>
        <row r="17">
          <cell r="E17">
            <v>18666</v>
          </cell>
          <cell r="F17">
            <v>17993</v>
          </cell>
        </row>
        <row r="18">
          <cell r="E18">
            <v>11560</v>
          </cell>
          <cell r="F18">
            <v>12543</v>
          </cell>
        </row>
        <row r="19">
          <cell r="E19">
            <v>279</v>
          </cell>
          <cell r="F19">
            <v>649</v>
          </cell>
        </row>
        <row r="20">
          <cell r="E20">
            <v>14608</v>
          </cell>
          <cell r="F20">
            <v>14599</v>
          </cell>
        </row>
        <row r="21">
          <cell r="E21">
            <v>15009</v>
          </cell>
          <cell r="F21">
            <v>22981</v>
          </cell>
        </row>
        <row r="22">
          <cell r="E22">
            <v>889</v>
          </cell>
          <cell r="F22">
            <v>1477</v>
          </cell>
        </row>
        <row r="23">
          <cell r="E23">
            <v>10042</v>
          </cell>
          <cell r="F23">
            <v>10410</v>
          </cell>
        </row>
        <row r="24">
          <cell r="E24">
            <v>2319</v>
          </cell>
          <cell r="F24">
            <v>2942</v>
          </cell>
        </row>
        <row r="25">
          <cell r="E25">
            <v>20292</v>
          </cell>
          <cell r="F25">
            <v>11326</v>
          </cell>
        </row>
        <row r="26">
          <cell r="E26">
            <v>571091</v>
          </cell>
          <cell r="F26">
            <v>672186</v>
          </cell>
        </row>
        <row r="30">
          <cell r="E30">
            <v>3161</v>
          </cell>
          <cell r="F30">
            <v>1816</v>
          </cell>
        </row>
        <row r="32">
          <cell r="E32">
            <v>4738</v>
          </cell>
          <cell r="F32">
            <v>4182</v>
          </cell>
        </row>
        <row r="33">
          <cell r="E33">
            <v>1645</v>
          </cell>
          <cell r="F33">
            <v>984</v>
          </cell>
        </row>
        <row r="35">
          <cell r="E35">
            <v>1153</v>
          </cell>
          <cell r="F35">
            <v>710</v>
          </cell>
        </row>
        <row r="36">
          <cell r="E36">
            <v>200</v>
          </cell>
          <cell r="F36">
            <v>537</v>
          </cell>
        </row>
        <row r="37">
          <cell r="E37">
            <v>1412</v>
          </cell>
          <cell r="F37">
            <v>491</v>
          </cell>
        </row>
        <row r="38">
          <cell r="E38">
            <v>12309</v>
          </cell>
          <cell r="F38">
            <v>8720</v>
          </cell>
        </row>
      </sheetData>
      <sheetData sheetId="9">
        <row r="2">
          <cell r="E2">
            <v>2328</v>
          </cell>
          <cell r="F2">
            <v>6803</v>
          </cell>
        </row>
        <row r="3">
          <cell r="E3">
            <v>38873</v>
          </cell>
          <cell r="F3">
            <v>38448</v>
          </cell>
        </row>
        <row r="4">
          <cell r="E4">
            <v>43</v>
          </cell>
          <cell r="F4">
            <v>5</v>
          </cell>
        </row>
        <row r="5">
          <cell r="E5">
            <v>56063</v>
          </cell>
          <cell r="F5">
            <v>61847</v>
          </cell>
        </row>
        <row r="6">
          <cell r="E6">
            <v>8606</v>
          </cell>
          <cell r="F6">
            <v>7073</v>
          </cell>
        </row>
        <row r="7">
          <cell r="E7">
            <v>28222</v>
          </cell>
          <cell r="F7">
            <v>20878</v>
          </cell>
        </row>
        <row r="8">
          <cell r="E8">
            <v>374</v>
          </cell>
          <cell r="F8">
            <v>2</v>
          </cell>
        </row>
        <row r="9">
          <cell r="E9">
            <v>4304</v>
          </cell>
          <cell r="F9">
            <v>3317</v>
          </cell>
        </row>
        <row r="10">
          <cell r="E10">
            <v>1257</v>
          </cell>
          <cell r="F10">
            <v>504</v>
          </cell>
        </row>
        <row r="11">
          <cell r="E11">
            <v>6108</v>
          </cell>
          <cell r="F11">
            <v>4078</v>
          </cell>
        </row>
        <row r="12">
          <cell r="E12">
            <v>5</v>
          </cell>
          <cell r="F12">
            <v>0</v>
          </cell>
        </row>
        <row r="13">
          <cell r="E13">
            <v>10464</v>
          </cell>
          <cell r="F13">
            <v>15200</v>
          </cell>
        </row>
        <row r="14">
          <cell r="E14">
            <v>28721</v>
          </cell>
          <cell r="F14">
            <v>31111</v>
          </cell>
        </row>
        <row r="15">
          <cell r="E15">
            <v>8373</v>
          </cell>
          <cell r="F15">
            <v>7916</v>
          </cell>
        </row>
        <row r="16">
          <cell r="E16">
            <v>53828</v>
          </cell>
          <cell r="F16">
            <v>57332</v>
          </cell>
        </row>
        <row r="17">
          <cell r="E17">
            <v>561</v>
          </cell>
          <cell r="F17">
            <v>195</v>
          </cell>
        </row>
        <row r="18">
          <cell r="E18">
            <v>1823</v>
          </cell>
          <cell r="F18">
            <v>1845</v>
          </cell>
        </row>
        <row r="19">
          <cell r="E19">
            <v>42594</v>
          </cell>
          <cell r="F19">
            <v>32624</v>
          </cell>
        </row>
        <row r="20">
          <cell r="E20">
            <v>4164</v>
          </cell>
          <cell r="F20">
            <v>5644</v>
          </cell>
        </row>
        <row r="21">
          <cell r="E21">
            <v>296711</v>
          </cell>
          <cell r="F21">
            <v>294822</v>
          </cell>
        </row>
        <row r="25">
          <cell r="E25">
            <v>3530</v>
          </cell>
          <cell r="F25">
            <v>4096</v>
          </cell>
        </row>
        <row r="26">
          <cell r="E26">
            <v>3530</v>
          </cell>
          <cell r="F26">
            <v>4096</v>
          </cell>
        </row>
      </sheetData>
      <sheetData sheetId="10">
        <row r="2">
          <cell r="E2">
            <v>10000</v>
          </cell>
          <cell r="F2">
            <v>10000</v>
          </cell>
        </row>
        <row r="3">
          <cell r="E3">
            <v>32196.4</v>
          </cell>
          <cell r="F3">
            <v>39583</v>
          </cell>
        </row>
        <row r="4">
          <cell r="E4">
            <v>80412.1</v>
          </cell>
          <cell r="F4">
            <v>68902</v>
          </cell>
        </row>
        <row r="6">
          <cell r="E6">
            <v>101840.6</v>
          </cell>
          <cell r="F6">
            <v>94094</v>
          </cell>
        </row>
        <row r="7">
          <cell r="E7">
            <v>106350.36</v>
          </cell>
          <cell r="F7">
            <v>112821</v>
          </cell>
        </row>
        <row r="9">
          <cell r="E9">
            <v>469197</v>
          </cell>
          <cell r="F9">
            <v>527203</v>
          </cell>
        </row>
        <row r="10">
          <cell r="E10">
            <v>100416.37</v>
          </cell>
          <cell r="F10">
            <v>65207</v>
          </cell>
        </row>
        <row r="12">
          <cell r="E12">
            <v>2104.9</v>
          </cell>
          <cell r="F12">
            <v>4336</v>
          </cell>
        </row>
        <row r="14">
          <cell r="E14">
            <v>19212.28</v>
          </cell>
          <cell r="F14">
            <v>18978</v>
          </cell>
        </row>
        <row r="15">
          <cell r="E15">
            <v>37359.799999999996</v>
          </cell>
          <cell r="F15">
            <v>31797</v>
          </cell>
        </row>
        <row r="16">
          <cell r="E16">
            <v>146345.31</v>
          </cell>
          <cell r="F16">
            <v>124625</v>
          </cell>
        </row>
        <row r="17">
          <cell r="E17">
            <v>22553.7</v>
          </cell>
          <cell r="F17">
            <v>13581</v>
          </cell>
        </row>
        <row r="19">
          <cell r="E19">
            <v>78483.55999999998</v>
          </cell>
          <cell r="F19">
            <v>71433</v>
          </cell>
        </row>
        <row r="20">
          <cell r="E20">
            <v>1206472.3800000001</v>
          </cell>
          <cell r="F20">
            <v>1182560</v>
          </cell>
        </row>
        <row r="24">
          <cell r="E24">
            <v>101025.1546296997</v>
          </cell>
          <cell r="F24">
            <v>44161.4269880579</v>
          </cell>
        </row>
        <row r="25">
          <cell r="E25">
            <v>21650.489888768217</v>
          </cell>
          <cell r="F25">
            <v>11246.060032334828</v>
          </cell>
        </row>
        <row r="26">
          <cell r="E26">
            <v>5289.531075301287</v>
          </cell>
          <cell r="F26">
            <v>3292.808785620826</v>
          </cell>
        </row>
        <row r="27">
          <cell r="E27">
            <v>21362.656410998356</v>
          </cell>
          <cell r="F27">
            <v>7123.033893967887</v>
          </cell>
        </row>
        <row r="28">
          <cell r="E28">
            <v>26186.91024400469</v>
          </cell>
          <cell r="F28">
            <v>16649.550422028904</v>
          </cell>
        </row>
        <row r="29">
          <cell r="E29">
            <v>175514.74224877224</v>
          </cell>
          <cell r="F29">
            <v>82472.88012201035</v>
          </cell>
        </row>
      </sheetData>
      <sheetData sheetId="11">
        <row r="5">
          <cell r="E5">
            <v>120000</v>
          </cell>
          <cell r="F5">
            <v>95000</v>
          </cell>
        </row>
        <row r="6">
          <cell r="E6">
            <v>70000</v>
          </cell>
          <cell r="F6">
            <v>70000</v>
          </cell>
        </row>
        <row r="7">
          <cell r="E7">
            <v>130000</v>
          </cell>
          <cell r="F7">
            <v>100000</v>
          </cell>
        </row>
        <row r="8">
          <cell r="E8">
            <v>230000</v>
          </cell>
          <cell r="F8">
            <v>160000</v>
          </cell>
        </row>
        <row r="9">
          <cell r="E9">
            <v>100000</v>
          </cell>
          <cell r="F9">
            <v>50000</v>
          </cell>
        </row>
        <row r="10">
          <cell r="E10">
            <v>120000</v>
          </cell>
          <cell r="F10">
            <v>30000</v>
          </cell>
        </row>
        <row r="12">
          <cell r="E12">
            <v>32000</v>
          </cell>
          <cell r="F12">
            <v>10000</v>
          </cell>
        </row>
        <row r="13">
          <cell r="E13">
            <v>23000</v>
          </cell>
          <cell r="F13">
            <v>10000</v>
          </cell>
        </row>
        <row r="14">
          <cell r="E14">
            <v>150000</v>
          </cell>
          <cell r="F14">
            <v>100000</v>
          </cell>
        </row>
        <row r="15">
          <cell r="E15">
            <v>140000</v>
          </cell>
          <cell r="F15">
            <v>110000</v>
          </cell>
        </row>
        <row r="17">
          <cell r="E17">
            <v>250000</v>
          </cell>
          <cell r="F17">
            <v>100000</v>
          </cell>
        </row>
        <row r="18">
          <cell r="E18">
            <v>1365000</v>
          </cell>
          <cell r="F18">
            <v>835000</v>
          </cell>
        </row>
        <row r="22">
          <cell r="E22">
            <v>22000</v>
          </cell>
          <cell r="F22">
            <v>6000</v>
          </cell>
        </row>
        <row r="24">
          <cell r="E24">
            <v>4000</v>
          </cell>
          <cell r="F24">
            <v>1000</v>
          </cell>
        </row>
        <row r="25">
          <cell r="E25">
            <v>26000</v>
          </cell>
          <cell r="F25">
            <v>7000</v>
          </cell>
        </row>
      </sheetData>
      <sheetData sheetId="12">
        <row r="13">
          <cell r="F13">
            <v>86608</v>
          </cell>
        </row>
        <row r="14">
          <cell r="F14">
            <v>86608</v>
          </cell>
        </row>
      </sheetData>
      <sheetData sheetId="13">
        <row r="2">
          <cell r="E2">
            <v>17920.486855677664</v>
          </cell>
          <cell r="F2">
            <v>24352.505672091902</v>
          </cell>
        </row>
        <row r="3">
          <cell r="E3">
            <v>12571.42712910731</v>
          </cell>
          <cell r="F3">
            <v>14866.270950203612</v>
          </cell>
        </row>
        <row r="4">
          <cell r="E4">
            <v>85750.31712921987</v>
          </cell>
          <cell r="F4">
            <v>162727.5498310828</v>
          </cell>
        </row>
        <row r="5">
          <cell r="E5">
            <v>15494.052007187234</v>
          </cell>
          <cell r="F5">
            <v>24315.05293633063</v>
          </cell>
        </row>
        <row r="6">
          <cell r="E6">
            <v>11198.159240056639</v>
          </cell>
          <cell r="F6">
            <v>17678.029095927115</v>
          </cell>
        </row>
        <row r="7">
          <cell r="E7">
            <v>17834.629999999997</v>
          </cell>
          <cell r="F7">
            <v>20994.34</v>
          </cell>
        </row>
        <row r="8">
          <cell r="E8">
            <v>160769.07236124872</v>
          </cell>
          <cell r="F8">
            <v>264933.7484856361</v>
          </cell>
        </row>
        <row r="12">
          <cell r="E12">
            <v>3353.1245684698097</v>
          </cell>
          <cell r="F12">
            <v>4332.243903672345</v>
          </cell>
        </row>
        <row r="13">
          <cell r="E13">
            <v>6511.091962797507</v>
          </cell>
          <cell r="F13">
            <v>5538.648065685891</v>
          </cell>
        </row>
        <row r="14">
          <cell r="E14">
            <v>47077.180260225956</v>
          </cell>
          <cell r="F14">
            <v>54176.0206692806</v>
          </cell>
        </row>
        <row r="15">
          <cell r="E15">
            <v>22.77</v>
          </cell>
          <cell r="F15">
            <v>33.66</v>
          </cell>
        </row>
        <row r="16">
          <cell r="E16">
            <v>2955.078144909275</v>
          </cell>
          <cell r="F16">
            <v>3722.6254144356435</v>
          </cell>
        </row>
        <row r="17">
          <cell r="E17">
            <v>59919.244936402545</v>
          </cell>
          <cell r="F17">
            <v>67803.19805307449</v>
          </cell>
        </row>
      </sheetData>
      <sheetData sheetId="14">
        <row r="2">
          <cell r="E2">
            <v>451</v>
          </cell>
          <cell r="F2">
            <v>35</v>
          </cell>
        </row>
        <row r="3">
          <cell r="E3">
            <v>8187</v>
          </cell>
          <cell r="F3">
            <v>7536</v>
          </cell>
        </row>
        <row r="4">
          <cell r="E4">
            <v>0</v>
          </cell>
          <cell r="F4">
            <v>13</v>
          </cell>
        </row>
        <row r="5">
          <cell r="E5">
            <v>4</v>
          </cell>
          <cell r="F5">
            <v>8</v>
          </cell>
        </row>
        <row r="6">
          <cell r="E6">
            <v>20515</v>
          </cell>
          <cell r="F6">
            <v>19343</v>
          </cell>
        </row>
        <row r="7">
          <cell r="E7">
            <v>57</v>
          </cell>
          <cell r="F7">
            <v>68</v>
          </cell>
        </row>
        <row r="8">
          <cell r="E8">
            <v>9896</v>
          </cell>
          <cell r="F8">
            <v>11381</v>
          </cell>
        </row>
        <row r="9">
          <cell r="E9">
            <v>287</v>
          </cell>
          <cell r="F9">
            <v>328</v>
          </cell>
        </row>
        <row r="10">
          <cell r="E10">
            <v>515</v>
          </cell>
          <cell r="F10">
            <v>285</v>
          </cell>
        </row>
        <row r="11">
          <cell r="E11">
            <v>1339</v>
          </cell>
          <cell r="F11">
            <v>2438</v>
          </cell>
        </row>
        <row r="12">
          <cell r="E12">
            <v>214</v>
          </cell>
          <cell r="F12">
            <v>17</v>
          </cell>
        </row>
        <row r="13">
          <cell r="E13">
            <v>196</v>
          </cell>
          <cell r="F13">
            <v>56</v>
          </cell>
        </row>
        <row r="14">
          <cell r="E14">
            <v>470</v>
          </cell>
          <cell r="F14">
            <v>259</v>
          </cell>
        </row>
        <row r="15">
          <cell r="E15">
            <v>56</v>
          </cell>
          <cell r="F15">
            <v>9</v>
          </cell>
        </row>
        <row r="16">
          <cell r="E16">
            <v>461</v>
          </cell>
          <cell r="F16">
            <v>325</v>
          </cell>
        </row>
        <row r="17">
          <cell r="E17">
            <v>11439</v>
          </cell>
          <cell r="F17">
            <v>10766</v>
          </cell>
        </row>
        <row r="18">
          <cell r="E18">
            <v>3511</v>
          </cell>
          <cell r="F18">
            <v>2419</v>
          </cell>
        </row>
        <row r="19">
          <cell r="E19">
            <v>57598</v>
          </cell>
          <cell r="F19">
            <v>55286</v>
          </cell>
        </row>
        <row r="23">
          <cell r="E23">
            <v>5099</v>
          </cell>
          <cell r="F23">
            <v>5752</v>
          </cell>
        </row>
        <row r="24">
          <cell r="E24">
            <v>957</v>
          </cell>
          <cell r="F24">
            <v>1704</v>
          </cell>
        </row>
        <row r="25">
          <cell r="E25">
            <v>1105</v>
          </cell>
          <cell r="F25">
            <v>1030</v>
          </cell>
        </row>
        <row r="26">
          <cell r="E26">
            <v>22</v>
          </cell>
          <cell r="F26">
            <v>58</v>
          </cell>
        </row>
        <row r="27">
          <cell r="E27">
            <v>566</v>
          </cell>
          <cell r="F27">
            <v>423</v>
          </cell>
        </row>
        <row r="28">
          <cell r="E28">
            <v>7749</v>
          </cell>
          <cell r="F28">
            <v>8967</v>
          </cell>
        </row>
      </sheetData>
      <sheetData sheetId="15">
        <row r="2">
          <cell r="E2">
            <v>3162.8</v>
          </cell>
          <cell r="F2">
            <v>5000</v>
          </cell>
        </row>
        <row r="3">
          <cell r="E3">
            <v>43516.9</v>
          </cell>
          <cell r="F3">
            <v>74000</v>
          </cell>
        </row>
        <row r="4">
          <cell r="E4">
            <v>4317.4</v>
          </cell>
          <cell r="F4">
            <v>6000</v>
          </cell>
        </row>
        <row r="5">
          <cell r="E5">
            <v>41884.3</v>
          </cell>
          <cell r="F5">
            <v>49000</v>
          </cell>
        </row>
        <row r="6">
          <cell r="E6">
            <v>30402.3</v>
          </cell>
          <cell r="F6">
            <v>30000</v>
          </cell>
        </row>
        <row r="7">
          <cell r="E7">
            <v>8655.9</v>
          </cell>
          <cell r="F7">
            <v>9000</v>
          </cell>
        </row>
        <row r="8">
          <cell r="E8">
            <v>131939.6</v>
          </cell>
          <cell r="F8">
            <v>173000</v>
          </cell>
        </row>
        <row r="12">
          <cell r="E12">
            <v>197179.6</v>
          </cell>
          <cell r="F12">
            <v>175000</v>
          </cell>
        </row>
        <row r="13">
          <cell r="E13">
            <v>8494.7</v>
          </cell>
          <cell r="F13">
            <v>9000</v>
          </cell>
        </row>
        <row r="14">
          <cell r="E14">
            <v>18568.2</v>
          </cell>
          <cell r="F14">
            <v>16000</v>
          </cell>
        </row>
        <row r="15">
          <cell r="E15">
            <v>224242.50000000003</v>
          </cell>
          <cell r="F15">
            <v>200000</v>
          </cell>
        </row>
      </sheetData>
      <sheetData sheetId="16">
        <row r="2">
          <cell r="E2">
            <v>16131</v>
          </cell>
          <cell r="F2">
            <v>20600</v>
          </cell>
        </row>
        <row r="3">
          <cell r="E3">
            <v>21779</v>
          </cell>
          <cell r="F3">
            <v>31734</v>
          </cell>
        </row>
        <row r="4">
          <cell r="E4">
            <v>4308</v>
          </cell>
          <cell r="F4">
            <v>2933</v>
          </cell>
        </row>
        <row r="5">
          <cell r="E5">
            <v>3191</v>
          </cell>
          <cell r="F5">
            <v>4295</v>
          </cell>
        </row>
        <row r="6">
          <cell r="E6">
            <v>32692</v>
          </cell>
          <cell r="F6">
            <v>38201</v>
          </cell>
        </row>
        <row r="7">
          <cell r="E7">
            <v>92</v>
          </cell>
          <cell r="F7">
            <v>145</v>
          </cell>
        </row>
        <row r="9">
          <cell r="E9">
            <v>220</v>
          </cell>
          <cell r="F9">
            <v>135</v>
          </cell>
        </row>
        <row r="10">
          <cell r="E10">
            <v>8097</v>
          </cell>
          <cell r="F10">
            <v>6871</v>
          </cell>
        </row>
        <row r="11">
          <cell r="E11">
            <v>1081</v>
          </cell>
          <cell r="F11">
            <v>2987</v>
          </cell>
        </row>
        <row r="12">
          <cell r="E12">
            <v>87591</v>
          </cell>
          <cell r="F12">
            <v>107901</v>
          </cell>
        </row>
        <row r="16">
          <cell r="E16">
            <v>5604</v>
          </cell>
          <cell r="F16">
            <v>4987</v>
          </cell>
        </row>
        <row r="17">
          <cell r="E17">
            <v>692</v>
          </cell>
          <cell r="F17">
            <v>378</v>
          </cell>
        </row>
        <row r="18">
          <cell r="E18">
            <v>145</v>
          </cell>
          <cell r="F18">
            <v>115</v>
          </cell>
        </row>
        <row r="19">
          <cell r="E19">
            <v>6441</v>
          </cell>
          <cell r="F19">
            <v>5480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2" width="9.140625" style="0" customWidth="1"/>
    <col min="3" max="3" width="18.421875" style="0" customWidth="1"/>
  </cols>
  <sheetData>
    <row r="19" spans="2:7" ht="12.75">
      <c r="B19" t="s">
        <v>171</v>
      </c>
      <c r="G19" s="109" t="s">
        <v>142</v>
      </c>
    </row>
    <row r="21" spans="2:3" ht="12.75">
      <c r="B21" t="s">
        <v>61</v>
      </c>
      <c r="C21" t="s">
        <v>62</v>
      </c>
    </row>
    <row r="22" ht="12.75">
      <c r="C22" t="s">
        <v>63</v>
      </c>
    </row>
    <row r="23" ht="12.75">
      <c r="C23" t="s">
        <v>88</v>
      </c>
    </row>
    <row r="24" ht="12.75">
      <c r="C24" s="3" t="s">
        <v>117</v>
      </c>
    </row>
    <row r="26" spans="2:4" ht="12.75">
      <c r="B26" t="s">
        <v>64</v>
      </c>
      <c r="C26" t="s">
        <v>65</v>
      </c>
      <c r="D26" t="s">
        <v>66</v>
      </c>
    </row>
    <row r="27" spans="3:4" ht="12.75">
      <c r="C27" t="s">
        <v>67</v>
      </c>
      <c r="D27" t="s">
        <v>68</v>
      </c>
    </row>
    <row r="28" spans="3:4" ht="12.75">
      <c r="C28" t="s">
        <v>69</v>
      </c>
      <c r="D28" t="s">
        <v>70</v>
      </c>
    </row>
    <row r="29" spans="3:4" ht="12.75">
      <c r="C29" t="s">
        <v>71</v>
      </c>
      <c r="D29" s="3" t="s">
        <v>84</v>
      </c>
    </row>
    <row r="30" spans="3:4" ht="12.75">
      <c r="C30" s="3" t="s">
        <v>134</v>
      </c>
      <c r="D30" t="s">
        <v>72</v>
      </c>
    </row>
    <row r="31" spans="3:4" ht="12.75">
      <c r="C31" t="s">
        <v>73</v>
      </c>
      <c r="D31" t="s">
        <v>130</v>
      </c>
    </row>
    <row r="32" spans="3:4" ht="12.75">
      <c r="C32" t="s">
        <v>74</v>
      </c>
      <c r="D32" t="s">
        <v>129</v>
      </c>
    </row>
    <row r="33" spans="3:4" ht="12.75">
      <c r="C33" t="s">
        <v>75</v>
      </c>
      <c r="D33" t="s">
        <v>76</v>
      </c>
    </row>
    <row r="34" spans="3:4" ht="12.75">
      <c r="C34" t="s">
        <v>77</v>
      </c>
      <c r="D34" s="26" t="s">
        <v>83</v>
      </c>
    </row>
    <row r="35" spans="3:4" ht="12.75">
      <c r="C35" t="s">
        <v>145</v>
      </c>
      <c r="D35" s="26" t="s">
        <v>146</v>
      </c>
    </row>
    <row r="36" spans="3:4" ht="12.75">
      <c r="C36" t="s">
        <v>79</v>
      </c>
      <c r="D36" t="s">
        <v>156</v>
      </c>
    </row>
    <row r="37" spans="3:4" ht="12.75">
      <c r="C37" t="s">
        <v>78</v>
      </c>
      <c r="D37" t="s">
        <v>82</v>
      </c>
    </row>
    <row r="38" spans="3:4" ht="12.75">
      <c r="C38" t="s">
        <v>80</v>
      </c>
      <c r="D38" s="3" t="s">
        <v>129</v>
      </c>
    </row>
    <row r="39" spans="3:4" ht="12.75">
      <c r="C39" t="s">
        <v>81</v>
      </c>
      <c r="D39" t="s">
        <v>170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8" width="11.28125" style="9" customWidth="1"/>
    <col min="9" max="9" width="10.140625" style="0" bestFit="1" customWidth="1"/>
    <col min="10" max="17" width="10.140625" style="9" bestFit="1" customWidth="1"/>
    <col min="18" max="19" width="10.140625" style="0" bestFit="1" customWidth="1"/>
  </cols>
  <sheetData>
    <row r="1" spans="1:19" ht="13.5" thickBot="1">
      <c r="A1" s="53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54" t="s">
        <v>4</v>
      </c>
      <c r="B2" s="61">
        <f>(E2-F2)/F2</f>
        <v>-0.7032312925170068</v>
      </c>
      <c r="C2" s="104">
        <f>E2-'[1]Germany'!E2</f>
        <v>-1281</v>
      </c>
      <c r="D2" s="93">
        <f>F2-'[1]Germany'!F2</f>
        <v>-3275</v>
      </c>
      <c r="E2" s="57">
        <v>1047</v>
      </c>
      <c r="F2" s="192">
        <v>3528</v>
      </c>
      <c r="G2" s="93">
        <v>5951</v>
      </c>
      <c r="H2" s="93">
        <v>493</v>
      </c>
      <c r="I2" s="93">
        <v>7537</v>
      </c>
      <c r="J2" s="93">
        <v>3471</v>
      </c>
      <c r="K2" s="93">
        <v>6756</v>
      </c>
      <c r="L2" s="93">
        <v>2146</v>
      </c>
      <c r="M2" s="93">
        <v>3935</v>
      </c>
      <c r="N2" s="93">
        <v>2023</v>
      </c>
      <c r="O2" s="93">
        <v>3416</v>
      </c>
      <c r="P2" s="93">
        <v>2333</v>
      </c>
      <c r="Q2" s="93">
        <v>6767</v>
      </c>
      <c r="R2" s="51">
        <v>3906</v>
      </c>
      <c r="S2" s="83">
        <v>6955</v>
      </c>
    </row>
    <row r="3" spans="1:19" ht="12.75">
      <c r="A3" s="54" t="s">
        <v>11</v>
      </c>
      <c r="B3" s="61">
        <f aca="true" t="shared" si="0" ref="B3:B21">(E3-F3)/F3</f>
        <v>0.04548502458649978</v>
      </c>
      <c r="C3" s="104">
        <f>E3-'[1]Germany'!E3</f>
        <v>-10808</v>
      </c>
      <c r="D3" s="93">
        <f>F3-'[1]Germany'!F3</f>
        <v>-11604</v>
      </c>
      <c r="E3" s="57">
        <v>28065</v>
      </c>
      <c r="F3" s="192">
        <v>26844</v>
      </c>
      <c r="G3" s="93">
        <v>32267</v>
      </c>
      <c r="H3" s="93">
        <v>11033</v>
      </c>
      <c r="I3" s="93">
        <v>24155</v>
      </c>
      <c r="J3" s="93">
        <v>34837</v>
      </c>
      <c r="K3" s="93">
        <v>26327</v>
      </c>
      <c r="L3" s="93">
        <v>21596</v>
      </c>
      <c r="M3" s="93">
        <v>22234</v>
      </c>
      <c r="N3" s="93">
        <v>19025</v>
      </c>
      <c r="O3" s="93">
        <v>17796</v>
      </c>
      <c r="P3" s="93">
        <v>16747</v>
      </c>
      <c r="Q3" s="93">
        <v>12786</v>
      </c>
      <c r="R3" s="51">
        <v>11592</v>
      </c>
      <c r="S3" s="83">
        <v>9003</v>
      </c>
    </row>
    <row r="4" spans="1:19" ht="12.75">
      <c r="A4" s="54" t="s">
        <v>5</v>
      </c>
      <c r="B4" s="61"/>
      <c r="C4" s="104">
        <f>E4-'[1]Germany'!E4</f>
        <v>-43</v>
      </c>
      <c r="D4" s="93">
        <f>F4-'[1]Germany'!F4</f>
        <v>-5</v>
      </c>
      <c r="E4" s="57">
        <v>0</v>
      </c>
      <c r="F4" s="192">
        <v>0</v>
      </c>
      <c r="G4" s="93">
        <v>83</v>
      </c>
      <c r="H4" s="93">
        <v>0</v>
      </c>
      <c r="I4" s="93">
        <v>126</v>
      </c>
      <c r="J4" s="93">
        <v>398</v>
      </c>
      <c r="K4" s="93">
        <v>165</v>
      </c>
      <c r="L4" s="93">
        <v>12</v>
      </c>
      <c r="M4" s="93">
        <v>8</v>
      </c>
      <c r="N4" s="93">
        <v>203</v>
      </c>
      <c r="O4" s="93">
        <v>114</v>
      </c>
      <c r="P4" s="93">
        <v>744</v>
      </c>
      <c r="Q4" s="93">
        <v>790</v>
      </c>
      <c r="R4" s="51">
        <v>752</v>
      </c>
      <c r="S4" s="83">
        <v>1693</v>
      </c>
    </row>
    <row r="5" spans="1:19" ht="12.75">
      <c r="A5" s="54" t="s">
        <v>2</v>
      </c>
      <c r="B5" s="61">
        <f t="shared" si="0"/>
        <v>-0.018905649479039388</v>
      </c>
      <c r="C5" s="104">
        <f>E5-'[1]Germany'!E5</f>
        <v>-11901</v>
      </c>
      <c r="D5" s="93">
        <f>F5-'[1]Germany'!F5</f>
        <v>-16834</v>
      </c>
      <c r="E5" s="57">
        <v>44162</v>
      </c>
      <c r="F5" s="192">
        <v>45013</v>
      </c>
      <c r="G5" s="93">
        <v>42003</v>
      </c>
      <c r="H5" s="93">
        <v>24509</v>
      </c>
      <c r="I5" s="93">
        <v>41117</v>
      </c>
      <c r="J5" s="93">
        <v>44848</v>
      </c>
      <c r="K5" s="93">
        <v>52909</v>
      </c>
      <c r="L5" s="93">
        <v>34338</v>
      </c>
      <c r="M5" s="93">
        <v>34487</v>
      </c>
      <c r="N5" s="93">
        <v>44592</v>
      </c>
      <c r="O5" s="93">
        <v>32557</v>
      </c>
      <c r="P5" s="93">
        <v>50575</v>
      </c>
      <c r="Q5" s="93">
        <v>33964</v>
      </c>
      <c r="R5" s="51">
        <v>43832</v>
      </c>
      <c r="S5" s="83">
        <v>39819</v>
      </c>
    </row>
    <row r="6" spans="1:19" ht="12.75">
      <c r="A6" s="54" t="s">
        <v>12</v>
      </c>
      <c r="B6" s="61">
        <f t="shared" si="0"/>
        <v>0.10461049284578697</v>
      </c>
      <c r="C6" s="104">
        <f>E6-'[1]Germany'!E6</f>
        <v>-1658</v>
      </c>
      <c r="D6" s="93">
        <f>F6-'[1]Germany'!F6</f>
        <v>-783</v>
      </c>
      <c r="E6" s="57">
        <v>6948</v>
      </c>
      <c r="F6" s="192">
        <v>6290</v>
      </c>
      <c r="G6" s="93">
        <v>8415</v>
      </c>
      <c r="H6" s="93">
        <v>2007</v>
      </c>
      <c r="I6" s="93">
        <v>6889</v>
      </c>
      <c r="J6" s="93">
        <v>7254</v>
      </c>
      <c r="K6" s="93">
        <v>8073</v>
      </c>
      <c r="L6" s="93">
        <v>6743</v>
      </c>
      <c r="M6" s="93">
        <v>3447</v>
      </c>
      <c r="N6" s="93">
        <v>5526</v>
      </c>
      <c r="O6" s="93">
        <v>4482</v>
      </c>
      <c r="P6" s="93">
        <v>4837</v>
      </c>
      <c r="Q6" s="93">
        <v>3858</v>
      </c>
      <c r="R6" s="51">
        <v>4172</v>
      </c>
      <c r="S6" s="83">
        <v>1816</v>
      </c>
    </row>
    <row r="7" spans="1:19" ht="12.75">
      <c r="A7" s="54" t="s">
        <v>9</v>
      </c>
      <c r="B7" s="61">
        <f t="shared" si="0"/>
        <v>0.5828696925329429</v>
      </c>
      <c r="C7" s="104">
        <f>E7-'[1]Germany'!E7</f>
        <v>-6600</v>
      </c>
      <c r="D7" s="93">
        <f>F7-'[1]Germany'!F7</f>
        <v>-7218</v>
      </c>
      <c r="E7" s="57">
        <v>21622</v>
      </c>
      <c r="F7" s="192">
        <v>13660</v>
      </c>
      <c r="G7" s="93">
        <v>17328</v>
      </c>
      <c r="H7" s="93">
        <v>9492</v>
      </c>
      <c r="I7" s="93">
        <v>13815</v>
      </c>
      <c r="J7" s="93">
        <v>16293</v>
      </c>
      <c r="K7" s="93">
        <v>9961</v>
      </c>
      <c r="L7" s="93">
        <v>12186</v>
      </c>
      <c r="M7" s="93">
        <v>11939</v>
      </c>
      <c r="N7" s="93">
        <v>10246</v>
      </c>
      <c r="O7" s="93">
        <v>7118</v>
      </c>
      <c r="P7" s="93">
        <v>8179</v>
      </c>
      <c r="Q7" s="93">
        <v>10333</v>
      </c>
      <c r="R7" s="51">
        <v>7983</v>
      </c>
      <c r="S7" s="83">
        <v>6419</v>
      </c>
    </row>
    <row r="8" spans="1:19" ht="12.75">
      <c r="A8" s="54" t="s">
        <v>14</v>
      </c>
      <c r="B8" s="61"/>
      <c r="C8" s="104">
        <f>E8-'[1]Germany'!E8</f>
        <v>-234</v>
      </c>
      <c r="D8" s="93">
        <f>F8-'[1]Germany'!F8</f>
        <v>-2</v>
      </c>
      <c r="E8" s="57">
        <v>140</v>
      </c>
      <c r="F8" s="192">
        <v>0</v>
      </c>
      <c r="G8" s="93">
        <v>576</v>
      </c>
      <c r="H8" s="93">
        <v>0</v>
      </c>
      <c r="I8" s="93">
        <v>682</v>
      </c>
      <c r="J8" s="93">
        <v>1077</v>
      </c>
      <c r="K8" s="93">
        <v>2583</v>
      </c>
      <c r="L8" s="93">
        <v>2205</v>
      </c>
      <c r="M8" s="93">
        <v>4671</v>
      </c>
      <c r="N8" s="93">
        <v>5192</v>
      </c>
      <c r="O8" s="93">
        <v>5131</v>
      </c>
      <c r="P8" s="93">
        <v>7616</v>
      </c>
      <c r="Q8" s="93">
        <v>10731</v>
      </c>
      <c r="R8" s="51">
        <v>5360</v>
      </c>
      <c r="S8" s="83">
        <v>8869</v>
      </c>
    </row>
    <row r="9" spans="1:19" ht="12.75">
      <c r="A9" s="54" t="s">
        <v>3</v>
      </c>
      <c r="B9" s="61">
        <f t="shared" si="0"/>
        <v>0.20710059171597633</v>
      </c>
      <c r="C9" s="104">
        <f>E9-'[1]Germany'!E9</f>
        <v>-632</v>
      </c>
      <c r="D9" s="93">
        <f>F9-'[1]Germany'!F9</f>
        <v>-275</v>
      </c>
      <c r="E9" s="57">
        <v>3672</v>
      </c>
      <c r="F9" s="192">
        <v>3042</v>
      </c>
      <c r="G9" s="93">
        <v>3106</v>
      </c>
      <c r="H9" s="93">
        <v>2557</v>
      </c>
      <c r="I9" s="93">
        <v>7654</v>
      </c>
      <c r="J9" s="93">
        <v>8038</v>
      </c>
      <c r="K9" s="93">
        <v>7793</v>
      </c>
      <c r="L9" s="93">
        <v>10687</v>
      </c>
      <c r="M9" s="93">
        <v>12867</v>
      </c>
      <c r="N9" s="93">
        <v>15978</v>
      </c>
      <c r="O9" s="93">
        <v>11099</v>
      </c>
      <c r="P9" s="93">
        <v>16313</v>
      </c>
      <c r="Q9" s="93">
        <v>19398</v>
      </c>
      <c r="R9" s="51">
        <v>15187</v>
      </c>
      <c r="S9" s="83">
        <v>14200</v>
      </c>
    </row>
    <row r="10" spans="1:19" ht="12.75">
      <c r="A10" s="54" t="s">
        <v>15</v>
      </c>
      <c r="B10" s="61">
        <f t="shared" si="0"/>
        <v>13.76923076923077</v>
      </c>
      <c r="C10" s="104">
        <f>E10-'[1]Germany'!E10</f>
        <v>-489</v>
      </c>
      <c r="D10" s="93">
        <f>F10-'[1]Germany'!F10</f>
        <v>-452</v>
      </c>
      <c r="E10" s="57">
        <v>768</v>
      </c>
      <c r="F10" s="192">
        <v>52</v>
      </c>
      <c r="G10" s="93">
        <v>957</v>
      </c>
      <c r="H10" s="93">
        <v>190</v>
      </c>
      <c r="I10" s="93">
        <v>950</v>
      </c>
      <c r="J10" s="93">
        <v>1343</v>
      </c>
      <c r="K10" s="93">
        <v>1280</v>
      </c>
      <c r="L10" s="93">
        <v>430</v>
      </c>
      <c r="M10" s="93">
        <v>82</v>
      </c>
      <c r="N10" s="93">
        <v>2060</v>
      </c>
      <c r="O10" s="93">
        <v>248</v>
      </c>
      <c r="P10" s="93">
        <v>2710</v>
      </c>
      <c r="Q10" s="93">
        <v>3327</v>
      </c>
      <c r="R10" s="51">
        <v>1334</v>
      </c>
      <c r="S10" s="83">
        <v>3509</v>
      </c>
    </row>
    <row r="11" spans="1:20" ht="12.75">
      <c r="A11" s="54" t="s">
        <v>10</v>
      </c>
      <c r="B11" s="61">
        <f t="shared" si="0"/>
        <v>0.502440277421012</v>
      </c>
      <c r="C11" s="104">
        <f>E11-'[1]Germany'!E11</f>
        <v>-259</v>
      </c>
      <c r="D11" s="93">
        <f>F11-'[1]Germany'!F11</f>
        <v>-185</v>
      </c>
      <c r="E11" s="57">
        <v>5849</v>
      </c>
      <c r="F11" s="192">
        <v>3893</v>
      </c>
      <c r="G11" s="93">
        <v>8652</v>
      </c>
      <c r="H11" s="93">
        <v>8060</v>
      </c>
      <c r="I11" s="93">
        <v>10797</v>
      </c>
      <c r="J11" s="93">
        <v>16189</v>
      </c>
      <c r="K11" s="93">
        <v>10706</v>
      </c>
      <c r="L11" s="93">
        <v>21526</v>
      </c>
      <c r="M11" s="93">
        <v>22512</v>
      </c>
      <c r="N11" s="93">
        <v>22534</v>
      </c>
      <c r="O11" s="93">
        <v>20098</v>
      </c>
      <c r="P11" s="93">
        <v>25324</v>
      </c>
      <c r="Q11" s="93">
        <v>24069</v>
      </c>
      <c r="R11" s="51">
        <v>15637</v>
      </c>
      <c r="S11" s="83">
        <v>22883</v>
      </c>
      <c r="T11" s="1"/>
    </row>
    <row r="12" spans="1:20" ht="12.75">
      <c r="A12" s="54" t="s">
        <v>98</v>
      </c>
      <c r="B12" s="61"/>
      <c r="C12" s="104">
        <f>E12-'[1]Germany'!E12</f>
        <v>-5</v>
      </c>
      <c r="D12" s="93">
        <f>F12-'[1]Germany'!F12</f>
        <v>0</v>
      </c>
      <c r="E12" s="57">
        <v>0</v>
      </c>
      <c r="F12" s="192">
        <v>0</v>
      </c>
      <c r="G12" s="93">
        <v>188</v>
      </c>
      <c r="H12" s="93">
        <v>0</v>
      </c>
      <c r="I12" s="93">
        <v>0</v>
      </c>
      <c r="J12" s="93">
        <v>23</v>
      </c>
      <c r="K12" s="93">
        <v>0</v>
      </c>
      <c r="L12" s="93">
        <v>9</v>
      </c>
      <c r="M12" s="93">
        <v>9</v>
      </c>
      <c r="N12" s="93">
        <v>14</v>
      </c>
      <c r="O12" s="93"/>
      <c r="P12" s="93">
        <v>56</v>
      </c>
      <c r="Q12" s="93">
        <v>461</v>
      </c>
      <c r="R12" s="51">
        <v>321</v>
      </c>
      <c r="S12" s="83">
        <v>75</v>
      </c>
      <c r="T12" s="1"/>
    </row>
    <row r="13" spans="1:20" ht="12.75">
      <c r="A13" s="54" t="s">
        <v>26</v>
      </c>
      <c r="B13" s="61">
        <f t="shared" si="0"/>
        <v>-0.20704740693604837</v>
      </c>
      <c r="C13" s="104">
        <f>E13-'[1]Germany'!E13</f>
        <v>-495</v>
      </c>
      <c r="D13" s="93">
        <f>F13-'[1]Germany'!F13</f>
        <v>-2628</v>
      </c>
      <c r="E13" s="57">
        <v>9969</v>
      </c>
      <c r="F13" s="192">
        <v>12572</v>
      </c>
      <c r="G13" s="93">
        <v>27731</v>
      </c>
      <c r="H13" s="93">
        <v>10494</v>
      </c>
      <c r="I13" s="93">
        <v>29312</v>
      </c>
      <c r="J13" s="93">
        <v>24623</v>
      </c>
      <c r="K13" s="93">
        <v>33330</v>
      </c>
      <c r="L13" s="93">
        <v>27492</v>
      </c>
      <c r="M13" s="93">
        <v>35695</v>
      </c>
      <c r="N13" s="93">
        <v>44879</v>
      </c>
      <c r="O13" s="93">
        <v>33349</v>
      </c>
      <c r="P13" s="93">
        <v>49660</v>
      </c>
      <c r="Q13" s="93">
        <v>46421</v>
      </c>
      <c r="R13" s="51">
        <v>45251</v>
      </c>
      <c r="S13" s="83">
        <v>44100</v>
      </c>
      <c r="T13" s="1"/>
    </row>
    <row r="14" spans="1:19" ht="12.75">
      <c r="A14" s="54" t="s">
        <v>25</v>
      </c>
      <c r="B14" s="61">
        <f t="shared" si="0"/>
        <v>0.006450152766776056</v>
      </c>
      <c r="C14" s="104">
        <f>E14-'[1]Germany'!E14</f>
        <v>-2039</v>
      </c>
      <c r="D14" s="93">
        <f>F14-'[1]Germany'!F14</f>
        <v>-4600</v>
      </c>
      <c r="E14" s="57">
        <v>26682</v>
      </c>
      <c r="F14" s="192">
        <v>26511</v>
      </c>
      <c r="G14" s="93">
        <v>47777</v>
      </c>
      <c r="H14" s="93">
        <v>21320</v>
      </c>
      <c r="I14" s="93">
        <v>53330</v>
      </c>
      <c r="J14" s="93">
        <v>50740</v>
      </c>
      <c r="K14" s="93">
        <v>62354</v>
      </c>
      <c r="L14" s="93">
        <v>42253</v>
      </c>
      <c r="M14" s="93">
        <v>60746</v>
      </c>
      <c r="N14" s="93">
        <v>67177</v>
      </c>
      <c r="O14" s="93">
        <v>52148</v>
      </c>
      <c r="P14" s="93">
        <v>72666</v>
      </c>
      <c r="Q14" s="93">
        <v>56879</v>
      </c>
      <c r="R14" s="51">
        <v>48864</v>
      </c>
      <c r="S14" s="83">
        <v>54388</v>
      </c>
    </row>
    <row r="15" spans="1:19" ht="12.75">
      <c r="A15" s="54" t="s">
        <v>13</v>
      </c>
      <c r="B15" s="61">
        <f t="shared" si="0"/>
        <v>0.024276784416339584</v>
      </c>
      <c r="C15" s="104">
        <f>E15-'[1]Germany'!E15</f>
        <v>-1327</v>
      </c>
      <c r="D15" s="93">
        <f>F15-'[1]Germany'!F15</f>
        <v>-1037</v>
      </c>
      <c r="E15" s="57">
        <v>7046</v>
      </c>
      <c r="F15" s="192">
        <v>6879</v>
      </c>
      <c r="G15" s="93">
        <v>7910</v>
      </c>
      <c r="H15" s="93">
        <v>6139</v>
      </c>
      <c r="I15" s="93">
        <v>10605</v>
      </c>
      <c r="J15" s="93">
        <v>11682</v>
      </c>
      <c r="K15" s="93">
        <v>12547</v>
      </c>
      <c r="L15" s="93">
        <v>9949</v>
      </c>
      <c r="M15" s="93">
        <v>11312</v>
      </c>
      <c r="N15" s="93">
        <v>9997</v>
      </c>
      <c r="O15" s="93">
        <v>8197</v>
      </c>
      <c r="P15" s="93">
        <v>9971</v>
      </c>
      <c r="Q15" s="93">
        <v>7208</v>
      </c>
      <c r="R15" s="51">
        <v>6346</v>
      </c>
      <c r="S15" s="83">
        <v>6809</v>
      </c>
    </row>
    <row r="16" spans="1:19" ht="12.75">
      <c r="A16" s="54" t="s">
        <v>132</v>
      </c>
      <c r="B16" s="61">
        <f t="shared" si="0"/>
        <v>0.026022916623809424</v>
      </c>
      <c r="C16" s="104">
        <f>E16-'[1]Germany'!E16</f>
        <v>-3952</v>
      </c>
      <c r="D16" s="93">
        <f>F16-'[1]Germany'!F16</f>
        <v>-8721</v>
      </c>
      <c r="E16" s="57">
        <v>49876</v>
      </c>
      <c r="F16" s="192">
        <v>48611</v>
      </c>
      <c r="G16" s="93">
        <v>61728</v>
      </c>
      <c r="H16" s="93">
        <v>37502</v>
      </c>
      <c r="I16" s="93">
        <v>54604</v>
      </c>
      <c r="J16" s="93">
        <v>32788</v>
      </c>
      <c r="K16" s="93">
        <v>34960</v>
      </c>
      <c r="L16" s="93">
        <v>15690</v>
      </c>
      <c r="M16" s="93">
        <v>24379</v>
      </c>
      <c r="N16" s="93">
        <v>18108</v>
      </c>
      <c r="O16" s="93">
        <v>13550</v>
      </c>
      <c r="P16" s="93">
        <v>17567</v>
      </c>
      <c r="Q16" s="93">
        <v>11781</v>
      </c>
      <c r="R16" s="51">
        <v>10311</v>
      </c>
      <c r="S16" s="83">
        <v>4757</v>
      </c>
    </row>
    <row r="17" spans="1:21" s="16" customFormat="1" ht="12.75">
      <c r="A17" s="54" t="s">
        <v>87</v>
      </c>
      <c r="B17" s="61">
        <f t="shared" si="0"/>
        <v>7.872340425531915</v>
      </c>
      <c r="C17" s="104">
        <f>E17-'[1]Germany'!E17</f>
        <v>-144</v>
      </c>
      <c r="D17" s="93">
        <f>F17-'[1]Germany'!F17</f>
        <v>-148</v>
      </c>
      <c r="E17" s="57">
        <v>417</v>
      </c>
      <c r="F17" s="192">
        <v>47</v>
      </c>
      <c r="G17" s="93">
        <v>808</v>
      </c>
      <c r="H17" s="93">
        <v>486</v>
      </c>
      <c r="I17" s="93">
        <v>2319</v>
      </c>
      <c r="J17" s="93">
        <v>2003</v>
      </c>
      <c r="K17" s="93">
        <v>1557</v>
      </c>
      <c r="L17" s="93">
        <v>69</v>
      </c>
      <c r="M17" s="93">
        <v>2469</v>
      </c>
      <c r="N17" s="93">
        <v>2195</v>
      </c>
      <c r="O17" s="93">
        <v>1034</v>
      </c>
      <c r="P17" s="93">
        <v>1735</v>
      </c>
      <c r="Q17" s="93">
        <v>1407</v>
      </c>
      <c r="R17" s="51">
        <v>878</v>
      </c>
      <c r="S17" s="83">
        <v>1035</v>
      </c>
      <c r="U17"/>
    </row>
    <row r="18" spans="1:19" ht="12.75">
      <c r="A18" s="54" t="s">
        <v>95</v>
      </c>
      <c r="B18" s="61">
        <f t="shared" si="0"/>
        <v>0.2387152777777778</v>
      </c>
      <c r="C18" s="104">
        <f>E18-'[1]Germany'!E18</f>
        <v>-396</v>
      </c>
      <c r="D18" s="93">
        <f>F18-'[1]Germany'!F18</f>
        <v>-693</v>
      </c>
      <c r="E18" s="57">
        <v>1427</v>
      </c>
      <c r="F18" s="192">
        <v>1152</v>
      </c>
      <c r="G18" s="93">
        <v>2233</v>
      </c>
      <c r="H18" s="93">
        <v>234</v>
      </c>
      <c r="I18" s="93">
        <v>932</v>
      </c>
      <c r="J18" s="93">
        <v>1599</v>
      </c>
      <c r="K18" s="93">
        <v>1370</v>
      </c>
      <c r="L18" s="93">
        <v>1549</v>
      </c>
      <c r="M18" s="93">
        <v>1542</v>
      </c>
      <c r="N18" s="93">
        <v>2035</v>
      </c>
      <c r="O18" s="93">
        <v>1718</v>
      </c>
      <c r="P18" s="93">
        <v>1503</v>
      </c>
      <c r="Q18" s="93">
        <v>1419</v>
      </c>
      <c r="R18" s="51">
        <v>1477</v>
      </c>
      <c r="S18" s="83">
        <v>964</v>
      </c>
    </row>
    <row r="19" spans="1:19" ht="12.75">
      <c r="A19" s="54" t="s">
        <v>141</v>
      </c>
      <c r="B19" s="61">
        <f t="shared" si="0"/>
        <v>4.389917231000752</v>
      </c>
      <c r="C19" s="104">
        <f>E19-'[1]Germany'!E19</f>
        <v>-6778</v>
      </c>
      <c r="D19" s="93">
        <f>F19-'[1]Germany'!F19</f>
        <v>-25979</v>
      </c>
      <c r="E19" s="57">
        <v>35816</v>
      </c>
      <c r="F19" s="192">
        <v>6645</v>
      </c>
      <c r="G19" s="93">
        <v>34920</v>
      </c>
      <c r="H19" s="93">
        <v>14236</v>
      </c>
      <c r="I19" s="93">
        <v>23665</v>
      </c>
      <c r="J19" s="93">
        <v>21155</v>
      </c>
      <c r="K19" s="93">
        <v>22363</v>
      </c>
      <c r="L19" s="93">
        <v>13458</v>
      </c>
      <c r="M19" s="93">
        <v>13117</v>
      </c>
      <c r="N19" s="93">
        <v>10635</v>
      </c>
      <c r="O19" s="93">
        <v>6009</v>
      </c>
      <c r="P19" s="93">
        <v>6528</v>
      </c>
      <c r="Q19" s="93">
        <v>2017</v>
      </c>
      <c r="R19" s="51">
        <v>2643</v>
      </c>
      <c r="S19" s="83">
        <v>1091</v>
      </c>
    </row>
    <row r="20" spans="1:19" ht="13.5" thickBot="1">
      <c r="A20" s="55" t="s">
        <v>6</v>
      </c>
      <c r="B20" s="62">
        <f t="shared" si="0"/>
        <v>-0.2723272068340668</v>
      </c>
      <c r="C20" s="104">
        <f>E20-'[1]Germany'!E20</f>
        <v>-1353</v>
      </c>
      <c r="D20" s="93">
        <f>F20-'[1]Germany'!F20</f>
        <v>-1781</v>
      </c>
      <c r="E20" s="57">
        <v>2811</v>
      </c>
      <c r="F20" s="192">
        <v>3863</v>
      </c>
      <c r="G20" s="93">
        <v>4536</v>
      </c>
      <c r="H20" s="93">
        <v>1485</v>
      </c>
      <c r="I20" s="94">
        <v>4248</v>
      </c>
      <c r="J20" s="94">
        <v>3485</v>
      </c>
      <c r="K20" s="94">
        <v>5492</v>
      </c>
      <c r="L20" s="94">
        <v>5082</v>
      </c>
      <c r="M20" s="94">
        <v>5870</v>
      </c>
      <c r="N20" s="94">
        <v>5515</v>
      </c>
      <c r="O20" s="94">
        <v>5189</v>
      </c>
      <c r="P20" s="94">
        <v>4933</v>
      </c>
      <c r="Q20" s="94">
        <v>4987</v>
      </c>
      <c r="R20" s="50">
        <v>4333</v>
      </c>
      <c r="S20" s="84">
        <v>3521</v>
      </c>
    </row>
    <row r="21" spans="1:19" ht="13.5" thickBot="1">
      <c r="A21" s="56" t="s">
        <v>90</v>
      </c>
      <c r="B21" s="108">
        <f t="shared" si="0"/>
        <v>0.18079884181359718</v>
      </c>
      <c r="C21" s="90">
        <f>E21-'[1]Germany'!E21</f>
        <v>-50394</v>
      </c>
      <c r="D21" s="125">
        <f>F21-'[1]Germany'!F21</f>
        <v>-86220</v>
      </c>
      <c r="E21" s="59">
        <f>SUM(E2:E20)</f>
        <v>246317</v>
      </c>
      <c r="F21" s="118">
        <f>SUM(F2:F20)</f>
        <v>208602</v>
      </c>
      <c r="G21" s="125">
        <f>SUM(G2:G20)</f>
        <v>307169</v>
      </c>
      <c r="H21" s="125">
        <f aca="true" t="shared" si="1" ref="H21:M21">SUM(H2:H20)</f>
        <v>150237</v>
      </c>
      <c r="I21" s="125">
        <f t="shared" si="1"/>
        <v>292737</v>
      </c>
      <c r="J21" s="125">
        <f t="shared" si="1"/>
        <v>281846</v>
      </c>
      <c r="K21" s="125">
        <f t="shared" si="1"/>
        <v>300526</v>
      </c>
      <c r="L21" s="125">
        <f t="shared" si="1"/>
        <v>227420</v>
      </c>
      <c r="M21" s="125">
        <f t="shared" si="1"/>
        <v>271321</v>
      </c>
      <c r="N21" s="125">
        <f aca="true" t="shared" si="2" ref="N21:S21">SUM(N2:N20)</f>
        <v>287934</v>
      </c>
      <c r="O21" s="125">
        <f t="shared" si="2"/>
        <v>223253</v>
      </c>
      <c r="P21" s="125">
        <f t="shared" si="2"/>
        <v>299997</v>
      </c>
      <c r="Q21" s="125">
        <f t="shared" si="2"/>
        <v>258603</v>
      </c>
      <c r="R21" s="60">
        <f t="shared" si="2"/>
        <v>230179</v>
      </c>
      <c r="S21" s="43">
        <f t="shared" si="2"/>
        <v>231906</v>
      </c>
    </row>
    <row r="22" ht="12.75">
      <c r="I22" s="9"/>
    </row>
    <row r="23" spans="2:19" ht="13.5" thickBot="1">
      <c r="B23" s="3"/>
      <c r="C23" s="3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3"/>
      <c r="S23" s="3"/>
    </row>
    <row r="24" spans="1:19" s="70" customFormat="1" ht="13.5" thickBot="1">
      <c r="A24" s="68" t="s">
        <v>24</v>
      </c>
      <c r="B24" s="32" t="s">
        <v>172</v>
      </c>
      <c r="C24" s="63" t="s">
        <v>173</v>
      </c>
      <c r="D24" s="110" t="s">
        <v>166</v>
      </c>
      <c r="E24" s="161">
        <v>44228</v>
      </c>
      <c r="F24" s="113">
        <v>43862</v>
      </c>
      <c r="G24" s="113">
        <v>43497</v>
      </c>
      <c r="H24" s="113">
        <v>43132</v>
      </c>
      <c r="I24" s="33">
        <v>42767</v>
      </c>
      <c r="J24" s="33">
        <v>42401</v>
      </c>
      <c r="K24" s="33">
        <v>42036</v>
      </c>
      <c r="L24" s="33">
        <v>41671</v>
      </c>
      <c r="M24" s="33">
        <v>41306</v>
      </c>
      <c r="N24" s="33">
        <v>40940</v>
      </c>
      <c r="O24" s="33">
        <v>40575</v>
      </c>
      <c r="P24" s="33">
        <v>40210</v>
      </c>
      <c r="Q24" s="33">
        <v>39845</v>
      </c>
      <c r="R24" s="33">
        <v>39479</v>
      </c>
      <c r="S24" s="34">
        <v>39114</v>
      </c>
    </row>
    <row r="25" spans="1:19" s="67" customFormat="1" ht="13.5" thickBot="1">
      <c r="A25" s="75" t="s">
        <v>6</v>
      </c>
      <c r="B25" s="129">
        <f>(E25-F25)/F25</f>
        <v>-0.02079002079002079</v>
      </c>
      <c r="C25" s="103">
        <f>E25-'[1]Germany'!E25</f>
        <v>-1175</v>
      </c>
      <c r="D25" s="99">
        <f>F25-'[1]Germany'!F25</f>
        <v>-1691</v>
      </c>
      <c r="E25" s="77">
        <v>2355</v>
      </c>
      <c r="F25" s="199">
        <v>2405</v>
      </c>
      <c r="G25" s="99">
        <v>2028</v>
      </c>
      <c r="H25" s="99">
        <v>1624</v>
      </c>
      <c r="I25" s="99">
        <v>662</v>
      </c>
      <c r="J25" s="99">
        <v>1490</v>
      </c>
      <c r="K25" s="99">
        <v>1553</v>
      </c>
      <c r="L25" s="99">
        <v>1733</v>
      </c>
      <c r="M25" s="99">
        <v>195</v>
      </c>
      <c r="N25" s="99">
        <v>1246</v>
      </c>
      <c r="O25" s="99">
        <v>780</v>
      </c>
      <c r="P25" s="99">
        <v>1108</v>
      </c>
      <c r="Q25" s="99">
        <v>316</v>
      </c>
      <c r="R25" s="78">
        <v>554</v>
      </c>
      <c r="S25" s="87">
        <v>298</v>
      </c>
    </row>
    <row r="26" spans="1:19" s="67" customFormat="1" ht="13.5" thickBot="1">
      <c r="A26" s="79" t="s">
        <v>90</v>
      </c>
      <c r="B26" s="80">
        <f>(E26-F26)/F26</f>
        <v>-0.02079002079002079</v>
      </c>
      <c r="C26" s="121">
        <f>E26-'[1]Germany'!E26</f>
        <v>-1175</v>
      </c>
      <c r="D26" s="118">
        <f>F26-'[1]Germany'!F26</f>
        <v>-1691</v>
      </c>
      <c r="E26" s="81">
        <v>2355</v>
      </c>
      <c r="F26" s="118">
        <v>2405</v>
      </c>
      <c r="G26" s="118">
        <v>2028</v>
      </c>
      <c r="H26" s="118">
        <v>1624</v>
      </c>
      <c r="I26" s="118">
        <f>SUM(I25)</f>
        <v>662</v>
      </c>
      <c r="J26" s="118">
        <f>SUM(J25)</f>
        <v>1490</v>
      </c>
      <c r="K26" s="118">
        <f>SUM(K25)</f>
        <v>1553</v>
      </c>
      <c r="L26" s="118">
        <f>SUM(L25)</f>
        <v>1733</v>
      </c>
      <c r="M26" s="118">
        <f>SUM(M25)</f>
        <v>195</v>
      </c>
      <c r="N26" s="118">
        <f aca="true" t="shared" si="3" ref="N26:S26">SUM(N25)</f>
        <v>1246</v>
      </c>
      <c r="O26" s="118">
        <f t="shared" si="3"/>
        <v>780</v>
      </c>
      <c r="P26" s="118">
        <f t="shared" si="3"/>
        <v>1108</v>
      </c>
      <c r="Q26" s="118">
        <f t="shared" si="3"/>
        <v>316</v>
      </c>
      <c r="R26" s="82">
        <f t="shared" si="3"/>
        <v>554</v>
      </c>
      <c r="S26" s="88">
        <f t="shared" si="3"/>
        <v>298</v>
      </c>
    </row>
    <row r="27" spans="4:17" s="67" customFormat="1" ht="12.75"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</row>
    <row r="28" spans="1:17" s="67" customFormat="1" ht="12.75">
      <c r="A28" s="70"/>
      <c r="D28" s="127"/>
      <c r="E28" s="127"/>
      <c r="F28" s="127"/>
      <c r="G28" s="127"/>
      <c r="H28" s="127"/>
      <c r="J28" s="127"/>
      <c r="K28" s="127"/>
      <c r="L28" s="127"/>
      <c r="M28" s="127"/>
      <c r="N28" s="127"/>
      <c r="O28" s="127"/>
      <c r="P28" s="127"/>
      <c r="Q28" s="127"/>
    </row>
    <row r="29" spans="4:17" s="67" customFormat="1" ht="12.75">
      <c r="D29" s="127"/>
      <c r="E29" s="127"/>
      <c r="F29" s="127"/>
      <c r="G29" s="127"/>
      <c r="H29" s="127"/>
      <c r="J29" s="127"/>
      <c r="K29" s="127"/>
      <c r="L29" s="127"/>
      <c r="M29" s="127"/>
      <c r="N29" s="127"/>
      <c r="O29" s="127"/>
      <c r="P29" s="127"/>
      <c r="Q29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8" width="11.421875" style="9" customWidth="1"/>
    <col min="9" max="9" width="10.140625" style="0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27" t="s">
        <v>20</v>
      </c>
      <c r="B2" s="149">
        <f>(E2-F2)/F2</f>
        <v>0</v>
      </c>
      <c r="C2" s="64">
        <f>E2-'[1]Italy'!$E2</f>
        <v>-5000</v>
      </c>
      <c r="D2" s="13">
        <f>F2-'[1]Italy'!$F2</f>
        <v>-5000</v>
      </c>
      <c r="E2" s="148">
        <v>5000</v>
      </c>
      <c r="F2" s="13">
        <v>5000</v>
      </c>
      <c r="G2" s="13">
        <v>5000</v>
      </c>
      <c r="H2" s="13">
        <v>5000</v>
      </c>
      <c r="I2" s="13">
        <v>5000</v>
      </c>
      <c r="J2" s="13">
        <v>5000</v>
      </c>
      <c r="K2" s="13">
        <v>5812</v>
      </c>
      <c r="L2" s="13"/>
      <c r="M2" s="13">
        <v>5015.605334857754</v>
      </c>
      <c r="N2" s="13">
        <v>4012.106581635539</v>
      </c>
      <c r="O2" s="13">
        <v>5000</v>
      </c>
      <c r="P2" s="13">
        <v>5000</v>
      </c>
      <c r="Q2" s="13">
        <v>7000</v>
      </c>
      <c r="R2" s="13">
        <v>7000</v>
      </c>
      <c r="S2" s="37">
        <v>17000</v>
      </c>
    </row>
    <row r="3" spans="1:19" ht="12.75">
      <c r="A3" s="27" t="s">
        <v>11</v>
      </c>
      <c r="B3" s="149">
        <f aca="true" t="shared" si="0" ref="B3:B20">(E3-F3)/F3</f>
        <v>-0.18637705048786327</v>
      </c>
      <c r="C3" s="64">
        <f>E3-'[1]Italy'!$E3</f>
        <v>-1593.6000000000022</v>
      </c>
      <c r="D3" s="13">
        <f>F3-'[1]Italy'!$F3</f>
        <v>-1970</v>
      </c>
      <c r="E3" s="148">
        <v>30602.8</v>
      </c>
      <c r="F3" s="13">
        <v>37613</v>
      </c>
      <c r="G3" s="13">
        <v>47573</v>
      </c>
      <c r="H3" s="13">
        <v>35607</v>
      </c>
      <c r="I3" s="13">
        <v>54702.6</v>
      </c>
      <c r="J3" s="13">
        <v>50428.6</v>
      </c>
      <c r="K3" s="13">
        <v>53004</v>
      </c>
      <c r="L3" s="13">
        <v>54134</v>
      </c>
      <c r="M3" s="13">
        <v>44713.11843918991</v>
      </c>
      <c r="N3" s="13">
        <v>58237.733085730666</v>
      </c>
      <c r="O3" s="13">
        <v>52969</v>
      </c>
      <c r="P3" s="13">
        <v>56522</v>
      </c>
      <c r="Q3" s="13">
        <v>50692</v>
      </c>
      <c r="R3" s="13">
        <v>50055</v>
      </c>
      <c r="S3" s="37">
        <v>41260</v>
      </c>
    </row>
    <row r="4" spans="1:19" ht="12.75">
      <c r="A4" s="27" t="s">
        <v>60</v>
      </c>
      <c r="B4" s="149">
        <f t="shared" si="0"/>
        <v>0.2545432562638344</v>
      </c>
      <c r="C4" s="64">
        <f>E4-'[1]Italy'!$E4</f>
        <v>-12966.600000000006</v>
      </c>
      <c r="D4" s="13">
        <f>F4-'[1]Italy'!$F4</f>
        <v>-15141</v>
      </c>
      <c r="E4" s="148">
        <v>67445.5</v>
      </c>
      <c r="F4" s="13">
        <v>53761</v>
      </c>
      <c r="G4" s="13">
        <v>66194</v>
      </c>
      <c r="H4" s="13">
        <v>57409</v>
      </c>
      <c r="I4" s="13">
        <v>68709.4</v>
      </c>
      <c r="J4" s="13">
        <v>53993.6</v>
      </c>
      <c r="K4" s="13">
        <v>68137</v>
      </c>
      <c r="L4" s="13">
        <v>37888</v>
      </c>
      <c r="M4" s="13">
        <v>35520.51698146261</v>
      </c>
      <c r="N4" s="13">
        <v>55970.89286710659</v>
      </c>
      <c r="O4" s="13">
        <v>35437</v>
      </c>
      <c r="P4" s="13"/>
      <c r="Q4" s="13"/>
      <c r="R4" s="13"/>
      <c r="S4" s="37"/>
    </row>
    <row r="5" spans="1:19" ht="12.75">
      <c r="A5" s="27" t="s">
        <v>2</v>
      </c>
      <c r="B5" s="149"/>
      <c r="C5" s="64">
        <f>E5-'[1]Italy'!$E5</f>
        <v>0</v>
      </c>
      <c r="D5" s="13">
        <f>F5-'[1]Italy'!$F5</f>
        <v>0</v>
      </c>
      <c r="E5" s="148"/>
      <c r="F5" s="13"/>
      <c r="G5" s="13">
        <v>0</v>
      </c>
      <c r="H5" s="13">
        <v>0</v>
      </c>
      <c r="I5" s="13">
        <v>0</v>
      </c>
      <c r="J5" s="13">
        <v>2</v>
      </c>
      <c r="K5" s="13">
        <v>13</v>
      </c>
      <c r="L5" s="13">
        <v>4</v>
      </c>
      <c r="M5" s="13">
        <v>0</v>
      </c>
      <c r="N5" s="13">
        <v>18.054479617359924</v>
      </c>
      <c r="O5" s="13"/>
      <c r="P5" s="13">
        <v>112</v>
      </c>
      <c r="Q5" s="13">
        <v>15</v>
      </c>
      <c r="R5" s="13">
        <v>10</v>
      </c>
      <c r="S5" s="37">
        <v>34</v>
      </c>
    </row>
    <row r="6" spans="1:19" ht="12.75">
      <c r="A6" s="27" t="s">
        <v>12</v>
      </c>
      <c r="B6" s="149">
        <f t="shared" si="0"/>
        <v>0.12866528758960755</v>
      </c>
      <c r="C6" s="64">
        <f>E6-'[1]Italy'!$E6</f>
        <v>-15088</v>
      </c>
      <c r="D6" s="13">
        <f>F6-'[1]Italy'!$F6</f>
        <v>-17231</v>
      </c>
      <c r="E6" s="148">
        <v>86752.6</v>
      </c>
      <c r="F6" s="13">
        <v>76863</v>
      </c>
      <c r="G6" s="13">
        <v>94617</v>
      </c>
      <c r="H6" s="13">
        <v>68547</v>
      </c>
      <c r="I6" s="13">
        <v>88451.32</v>
      </c>
      <c r="J6" s="13">
        <v>109114.043</v>
      </c>
      <c r="K6" s="13">
        <v>103501</v>
      </c>
      <c r="L6" s="13">
        <v>98327</v>
      </c>
      <c r="M6" s="13">
        <v>61046.93877268767</v>
      </c>
      <c r="N6" s="13">
        <v>87497.02335895324</v>
      </c>
      <c r="O6" s="13">
        <v>92031</v>
      </c>
      <c r="P6" s="13">
        <v>81913</v>
      </c>
      <c r="Q6" s="13">
        <v>72757</v>
      </c>
      <c r="R6" s="13">
        <v>69394</v>
      </c>
      <c r="S6" s="37">
        <v>52857</v>
      </c>
    </row>
    <row r="7" spans="1:19" ht="12.75">
      <c r="A7" s="27" t="s">
        <v>9</v>
      </c>
      <c r="B7" s="149">
        <f t="shared" si="0"/>
        <v>-0.12590127704308984</v>
      </c>
      <c r="C7" s="64">
        <f>E7-'[1]Italy'!$E7</f>
        <v>-33180.43000000001</v>
      </c>
      <c r="D7" s="13">
        <f>F7-'[1]Italy'!$F7</f>
        <v>-29112</v>
      </c>
      <c r="E7" s="148">
        <v>73169.93</v>
      </c>
      <c r="F7" s="13">
        <v>83709</v>
      </c>
      <c r="G7" s="13">
        <v>75983</v>
      </c>
      <c r="H7" s="13">
        <v>37503</v>
      </c>
      <c r="I7" s="13">
        <v>52032.16</v>
      </c>
      <c r="J7" s="13">
        <v>39624.402</v>
      </c>
      <c r="K7" s="13">
        <v>51618</v>
      </c>
      <c r="L7" s="13">
        <v>43895</v>
      </c>
      <c r="M7" s="13">
        <v>33998.78232286677</v>
      </c>
      <c r="N7" s="13">
        <v>53202.53932577807</v>
      </c>
      <c r="O7" s="13">
        <v>48953</v>
      </c>
      <c r="P7" s="13">
        <v>52344</v>
      </c>
      <c r="Q7" s="13">
        <v>57990</v>
      </c>
      <c r="R7" s="13">
        <v>45180</v>
      </c>
      <c r="S7" s="37">
        <v>29020</v>
      </c>
    </row>
    <row r="8" spans="1:19" ht="12.75">
      <c r="A8" s="27" t="s">
        <v>14</v>
      </c>
      <c r="B8" s="149"/>
      <c r="C8" s="64">
        <f>E8-'[1]Italy'!$E8</f>
        <v>0</v>
      </c>
      <c r="D8" s="13">
        <f>F8-'[1]Italy'!$F8</f>
        <v>0</v>
      </c>
      <c r="E8" s="148"/>
      <c r="F8" s="13"/>
      <c r="G8" s="13">
        <v>5</v>
      </c>
      <c r="H8" s="13">
        <v>12</v>
      </c>
      <c r="I8" s="13">
        <v>21</v>
      </c>
      <c r="J8" s="13">
        <v>11</v>
      </c>
      <c r="K8" s="13">
        <v>11</v>
      </c>
      <c r="L8" s="13">
        <v>19</v>
      </c>
      <c r="M8" s="13">
        <v>13.04057387063016</v>
      </c>
      <c r="N8" s="13">
        <v>34.10290594390208</v>
      </c>
      <c r="O8" s="13"/>
      <c r="P8" s="13">
        <v>154</v>
      </c>
      <c r="Q8" s="13">
        <v>314</v>
      </c>
      <c r="R8" s="13">
        <v>162</v>
      </c>
      <c r="S8" s="37">
        <v>433</v>
      </c>
    </row>
    <row r="9" spans="1:19" ht="12.75">
      <c r="A9" s="29" t="s">
        <v>3</v>
      </c>
      <c r="B9" s="149">
        <f t="shared" si="0"/>
        <v>-0.10419757296851591</v>
      </c>
      <c r="C9" s="64">
        <f>E9-'[1]Italy'!$E9</f>
        <v>-54187.859999999986</v>
      </c>
      <c r="D9" s="13">
        <f>F9-'[1]Italy'!$F9</f>
        <v>-63921</v>
      </c>
      <c r="E9" s="148">
        <v>415009.14</v>
      </c>
      <c r="F9" s="13">
        <v>463282</v>
      </c>
      <c r="G9" s="13">
        <v>512630</v>
      </c>
      <c r="H9" s="13">
        <v>272475</v>
      </c>
      <c r="I9" s="111">
        <v>573123.9299999999</v>
      </c>
      <c r="J9" s="111">
        <v>566831.394</v>
      </c>
      <c r="K9" s="111">
        <v>599731</v>
      </c>
      <c r="L9" s="111">
        <v>513493</v>
      </c>
      <c r="M9" s="111">
        <v>503036.12457529054</v>
      </c>
      <c r="N9" s="111">
        <v>559895.4916271119</v>
      </c>
      <c r="O9" s="111">
        <v>543870</v>
      </c>
      <c r="P9" s="111">
        <v>561034</v>
      </c>
      <c r="Q9" s="111">
        <v>582141</v>
      </c>
      <c r="R9" s="13">
        <v>510743</v>
      </c>
      <c r="S9" s="37">
        <v>508923</v>
      </c>
    </row>
    <row r="10" spans="1:19" ht="12.75">
      <c r="A10" s="29" t="s">
        <v>17</v>
      </c>
      <c r="B10" s="149">
        <f t="shared" si="0"/>
        <v>0.5116445263079555</v>
      </c>
      <c r="C10" s="64">
        <f>E10-'[1]Italy'!$E10</f>
        <v>-19168.5</v>
      </c>
      <c r="D10" s="13">
        <f>F10-'[1]Italy'!$F10</f>
        <v>-11459</v>
      </c>
      <c r="E10" s="148">
        <v>81247.87</v>
      </c>
      <c r="F10" s="13">
        <v>53748</v>
      </c>
      <c r="G10" s="13">
        <v>73681</v>
      </c>
      <c r="H10" s="13">
        <v>71145</v>
      </c>
      <c r="I10" s="111">
        <v>68910.935</v>
      </c>
      <c r="J10" s="111">
        <v>80731.59</v>
      </c>
      <c r="K10" s="111">
        <v>86960</v>
      </c>
      <c r="L10" s="111">
        <v>63404</v>
      </c>
      <c r="M10" s="111">
        <v>42090.95997012627</v>
      </c>
      <c r="N10" s="111">
        <v>54844.49394431241</v>
      </c>
      <c r="O10" s="111">
        <v>55937</v>
      </c>
      <c r="P10" s="111">
        <v>54663</v>
      </c>
      <c r="Q10" s="111">
        <v>49601</v>
      </c>
      <c r="R10" s="13">
        <v>39973</v>
      </c>
      <c r="S10" s="37">
        <v>43007</v>
      </c>
    </row>
    <row r="11" spans="1:19" ht="12.75">
      <c r="A11" s="29" t="s">
        <v>10</v>
      </c>
      <c r="B11" s="149"/>
      <c r="C11" s="64">
        <f>E11-'[1]Italy'!$E11</f>
        <v>0</v>
      </c>
      <c r="D11" s="13">
        <f>F11-'[1]Italy'!$F11</f>
        <v>0</v>
      </c>
      <c r="E11" s="148"/>
      <c r="F11" s="13"/>
      <c r="G11" s="13">
        <v>40</v>
      </c>
      <c r="H11" s="13">
        <v>801</v>
      </c>
      <c r="I11" s="111">
        <v>635</v>
      </c>
      <c r="J11" s="111">
        <v>1416</v>
      </c>
      <c r="K11" s="111">
        <v>649</v>
      </c>
      <c r="L11" s="111">
        <v>2143</v>
      </c>
      <c r="M11" s="111">
        <v>2013.2639814119025</v>
      </c>
      <c r="N11" s="111">
        <v>2059.2137030244403</v>
      </c>
      <c r="O11" s="111"/>
      <c r="P11" s="111">
        <v>2981</v>
      </c>
      <c r="Q11" s="111">
        <v>3402</v>
      </c>
      <c r="R11" s="13">
        <v>3463</v>
      </c>
      <c r="S11" s="37">
        <v>3898</v>
      </c>
    </row>
    <row r="12" spans="1:19" ht="12.75">
      <c r="A12" s="29" t="s">
        <v>26</v>
      </c>
      <c r="B12" s="149">
        <f t="shared" si="0"/>
        <v>-0.5173205741626794</v>
      </c>
      <c r="C12" s="64">
        <f>E12-'[1]Italy'!$E12</f>
        <v>-87.30000000000018</v>
      </c>
      <c r="D12" s="13">
        <f>F12-'[1]Italy'!$F12</f>
        <v>-156</v>
      </c>
      <c r="E12" s="148">
        <v>2017.6</v>
      </c>
      <c r="F12" s="13">
        <v>4180</v>
      </c>
      <c r="G12" s="13">
        <v>4596</v>
      </c>
      <c r="H12" s="13">
        <v>3233</v>
      </c>
      <c r="I12" s="111">
        <v>4378.2</v>
      </c>
      <c r="J12" s="111">
        <v>7886.5</v>
      </c>
      <c r="K12" s="111">
        <v>7752</v>
      </c>
      <c r="L12" s="111">
        <v>10317</v>
      </c>
      <c r="M12" s="111">
        <v>7515.383033750859</v>
      </c>
      <c r="N12" s="111">
        <v>11374.322158936753</v>
      </c>
      <c r="O12" s="111"/>
      <c r="P12" s="111">
        <v>16736</v>
      </c>
      <c r="Q12" s="111">
        <v>16605</v>
      </c>
      <c r="R12" s="13">
        <v>19877</v>
      </c>
      <c r="S12" s="37">
        <v>17949</v>
      </c>
    </row>
    <row r="13" spans="1:19" ht="12.75">
      <c r="A13" s="29" t="s">
        <v>49</v>
      </c>
      <c r="B13" s="149"/>
      <c r="C13" s="64">
        <f>E13-'[1]Italy'!$E13</f>
        <v>0</v>
      </c>
      <c r="D13" s="13">
        <f>F13-'[1]Italy'!$F13</f>
        <v>0</v>
      </c>
      <c r="E13" s="148"/>
      <c r="F13" s="13"/>
      <c r="G13" s="13">
        <v>0</v>
      </c>
      <c r="H13" s="13">
        <v>0</v>
      </c>
      <c r="I13" s="111">
        <v>0</v>
      </c>
      <c r="J13" s="111">
        <v>7</v>
      </c>
      <c r="K13" s="111">
        <v>6</v>
      </c>
      <c r="L13" s="111">
        <v>0</v>
      </c>
      <c r="M13" s="111">
        <v>1.003121066971551</v>
      </c>
      <c r="N13" s="111">
        <v>2.0060532908177695</v>
      </c>
      <c r="O13" s="111"/>
      <c r="P13" s="111">
        <v>6</v>
      </c>
      <c r="Q13" s="111">
        <v>7</v>
      </c>
      <c r="R13" s="13">
        <v>19</v>
      </c>
      <c r="S13" s="37">
        <v>48</v>
      </c>
    </row>
    <row r="14" spans="1:19" ht="12.75">
      <c r="A14" s="29" t="s">
        <v>104</v>
      </c>
      <c r="B14" s="149">
        <f t="shared" si="0"/>
        <v>0.30047530040053405</v>
      </c>
      <c r="C14" s="64">
        <f>E14-'[1]Italy'!$E14</f>
        <v>-4601.439999999999</v>
      </c>
      <c r="D14" s="13">
        <f>F14-'[1]Italy'!$F14</f>
        <v>-7743</v>
      </c>
      <c r="E14" s="148">
        <v>14610.84</v>
      </c>
      <c r="F14" s="13">
        <v>11235</v>
      </c>
      <c r="G14" s="13">
        <v>13993</v>
      </c>
      <c r="H14" s="13">
        <v>9497</v>
      </c>
      <c r="I14" s="111">
        <v>16122.869999999999</v>
      </c>
      <c r="J14" s="111">
        <v>17340.43</v>
      </c>
      <c r="K14" s="111">
        <v>24474</v>
      </c>
      <c r="L14" s="111">
        <v>18589</v>
      </c>
      <c r="M14" s="111">
        <v>18395.2341261243</v>
      </c>
      <c r="N14" s="111">
        <v>12292.091539485882</v>
      </c>
      <c r="O14" s="111">
        <v>33900</v>
      </c>
      <c r="P14" s="111">
        <v>20861</v>
      </c>
      <c r="Q14" s="111">
        <v>40903</v>
      </c>
      <c r="R14" s="13">
        <v>26913</v>
      </c>
      <c r="S14" s="37">
        <v>36671</v>
      </c>
    </row>
    <row r="15" spans="1:19" ht="12.75">
      <c r="A15" s="29" t="s">
        <v>13</v>
      </c>
      <c r="B15" s="149">
        <f t="shared" si="0"/>
        <v>0.14731783638801957</v>
      </c>
      <c r="C15" s="64">
        <f>E15-'[1]Italy'!$E15</f>
        <v>-1428.0999999999985</v>
      </c>
      <c r="D15" s="13">
        <f>F15-'[1]Italy'!$F15</f>
        <v>-479</v>
      </c>
      <c r="E15" s="148">
        <v>35931.7</v>
      </c>
      <c r="F15" s="13">
        <v>31318</v>
      </c>
      <c r="G15" s="13">
        <v>27692</v>
      </c>
      <c r="H15" s="13"/>
      <c r="I15" s="111"/>
      <c r="J15" s="111"/>
      <c r="K15" s="111"/>
      <c r="L15" s="111"/>
      <c r="M15" s="111"/>
      <c r="N15" s="111"/>
      <c r="O15" s="111"/>
      <c r="P15" s="111"/>
      <c r="Q15" s="111"/>
      <c r="R15" s="13"/>
      <c r="S15" s="37"/>
    </row>
    <row r="16" spans="1:19" ht="12.75">
      <c r="A16" s="29" t="s">
        <v>19</v>
      </c>
      <c r="B16" s="149">
        <f t="shared" si="0"/>
        <v>0.22735709907665527</v>
      </c>
      <c r="C16" s="64">
        <f>E16-'[1]Italy'!$E16</f>
        <v>-22193.23000000001</v>
      </c>
      <c r="D16" s="13">
        <f>F16-'[1]Italy'!$F16</f>
        <v>-23471</v>
      </c>
      <c r="E16" s="148">
        <v>124152.07999999999</v>
      </c>
      <c r="F16" s="13">
        <v>101154</v>
      </c>
      <c r="G16" s="13">
        <v>132232</v>
      </c>
      <c r="H16" s="13">
        <v>79720</v>
      </c>
      <c r="I16" s="111">
        <v>124025.37999999999</v>
      </c>
      <c r="J16" s="111">
        <v>124029.30000000002</v>
      </c>
      <c r="K16" s="111">
        <v>116849</v>
      </c>
      <c r="L16" s="111">
        <v>116338</v>
      </c>
      <c r="M16" s="111">
        <v>84492.88747101373</v>
      </c>
      <c r="N16" s="111">
        <v>102326.7723113236</v>
      </c>
      <c r="O16" s="111">
        <v>106985</v>
      </c>
      <c r="P16" s="111">
        <v>126801</v>
      </c>
      <c r="Q16" s="111">
        <v>105735</v>
      </c>
      <c r="R16" s="13">
        <v>86088</v>
      </c>
      <c r="S16" s="37">
        <v>114100</v>
      </c>
    </row>
    <row r="17" spans="1:19" ht="12.75">
      <c r="A17" s="29" t="s">
        <v>105</v>
      </c>
      <c r="B17" s="149">
        <f t="shared" si="0"/>
        <v>0.7964176692404381</v>
      </c>
      <c r="C17" s="64">
        <f>E17-'[1]Italy'!$E17</f>
        <v>-2545.2000000000007</v>
      </c>
      <c r="D17" s="13">
        <f>F17-'[1]Italy'!$F17</f>
        <v>-2443</v>
      </c>
      <c r="E17" s="148">
        <v>20008.5</v>
      </c>
      <c r="F17" s="13">
        <v>11138</v>
      </c>
      <c r="G17" s="13">
        <v>20436</v>
      </c>
      <c r="H17" s="13">
        <v>2251</v>
      </c>
      <c r="I17" s="111">
        <v>15352.099999999999</v>
      </c>
      <c r="J17" s="111">
        <v>14766.9</v>
      </c>
      <c r="K17" s="111">
        <v>15257</v>
      </c>
      <c r="L17" s="111">
        <v>17813</v>
      </c>
      <c r="M17" s="111">
        <v>8091.174526192529</v>
      </c>
      <c r="N17" s="111">
        <v>10171.6932110915</v>
      </c>
      <c r="O17" s="111">
        <v>9404</v>
      </c>
      <c r="P17" s="111">
        <v>9770</v>
      </c>
      <c r="Q17" s="111">
        <v>7446</v>
      </c>
      <c r="R17" s="13">
        <v>10772</v>
      </c>
      <c r="S17" s="37">
        <v>4813</v>
      </c>
    </row>
    <row r="18" spans="1:19" ht="12.75">
      <c r="A18" s="29" t="s">
        <v>21</v>
      </c>
      <c r="B18" s="149"/>
      <c r="C18" s="64">
        <f>E18-'[1]Italy'!$E18</f>
        <v>0</v>
      </c>
      <c r="D18" s="13">
        <f>F18-'[1]Italy'!$F18</f>
        <v>0</v>
      </c>
      <c r="E18" s="148"/>
      <c r="F18" s="13"/>
      <c r="G18" s="13">
        <v>2824</v>
      </c>
      <c r="H18" s="13">
        <v>2455</v>
      </c>
      <c r="I18" s="111">
        <v>6846.7</v>
      </c>
      <c r="J18" s="111">
        <v>7037.5</v>
      </c>
      <c r="K18" s="111">
        <v>8240</v>
      </c>
      <c r="L18" s="111">
        <v>5651</v>
      </c>
      <c r="M18" s="111">
        <v>1863.7989424331413</v>
      </c>
      <c r="N18" s="111">
        <v>6617.969806407821</v>
      </c>
      <c r="O18" s="111"/>
      <c r="P18" s="111">
        <v>4649</v>
      </c>
      <c r="Q18" s="111">
        <v>5832</v>
      </c>
      <c r="R18" s="13">
        <v>3285</v>
      </c>
      <c r="S18" s="37">
        <v>7719</v>
      </c>
    </row>
    <row r="19" spans="1:19" ht="13.5" thickBot="1">
      <c r="A19" s="30" t="s">
        <v>58</v>
      </c>
      <c r="B19" s="149">
        <f t="shared" si="0"/>
        <v>0.2063809132658776</v>
      </c>
      <c r="C19" s="65">
        <f>E19-'[1]Italy'!$E19</f>
        <v>-13862.559999999983</v>
      </c>
      <c r="D19" s="15">
        <f>F19-'[1]Italy'!$F19</f>
        <v>-17867</v>
      </c>
      <c r="E19" s="162">
        <f>8501+56120</f>
        <v>64621</v>
      </c>
      <c r="F19" s="15">
        <f>9364+44202</f>
        <v>53566</v>
      </c>
      <c r="G19" s="15">
        <v>55292</v>
      </c>
      <c r="H19" s="15">
        <v>36008</v>
      </c>
      <c r="I19" s="112">
        <v>59455.200000000004</v>
      </c>
      <c r="J19" s="112">
        <v>43272.8</v>
      </c>
      <c r="K19" s="112">
        <v>44499</v>
      </c>
      <c r="L19" s="112">
        <v>36221</v>
      </c>
      <c r="M19" s="112">
        <v>22552.167827654404</v>
      </c>
      <c r="N19" s="112">
        <v>27669.493040249494</v>
      </c>
      <c r="O19" s="112">
        <v>45748</v>
      </c>
      <c r="P19" s="112">
        <v>72517</v>
      </c>
      <c r="Q19" s="112">
        <v>44156</v>
      </c>
      <c r="R19" s="15">
        <v>44338</v>
      </c>
      <c r="S19" s="39">
        <v>54771</v>
      </c>
    </row>
    <row r="20" spans="1:19" ht="13.5" thickBot="1">
      <c r="A20" s="45" t="s">
        <v>22</v>
      </c>
      <c r="B20" s="140">
        <f t="shared" si="0"/>
        <v>0.03446553553889378</v>
      </c>
      <c r="C20" s="66">
        <f>E20-'[1]Italy'!$E20</f>
        <v>-185902.8200000003</v>
      </c>
      <c r="D20" s="42">
        <f>F20-'[1]Italy'!$F20</f>
        <v>-195993</v>
      </c>
      <c r="E20" s="138">
        <f>SUM(E2:E19)</f>
        <v>1020569.5599999998</v>
      </c>
      <c r="F20" s="42">
        <f>SUM(F2:F19)</f>
        <v>986567</v>
      </c>
      <c r="G20" s="42">
        <f>SUM(G2:G19)</f>
        <v>1132788</v>
      </c>
      <c r="H20" s="42">
        <f aca="true" t="shared" si="1" ref="H20:M20">SUM(H2:H19)</f>
        <v>681663</v>
      </c>
      <c r="I20" s="42">
        <f t="shared" si="1"/>
        <v>1137766.795</v>
      </c>
      <c r="J20" s="42">
        <f t="shared" si="1"/>
        <v>1121493.059</v>
      </c>
      <c r="K20" s="42">
        <f t="shared" si="1"/>
        <v>1186513</v>
      </c>
      <c r="L20" s="42">
        <f t="shared" si="1"/>
        <v>1018236</v>
      </c>
      <c r="M20" s="42">
        <f t="shared" si="1"/>
        <v>870359.9999999998</v>
      </c>
      <c r="N20" s="42">
        <f aca="true" t="shared" si="2" ref="N20:S20">SUM(N2:N19)</f>
        <v>1046225.9999999999</v>
      </c>
      <c r="O20" s="42">
        <f t="shared" si="2"/>
        <v>1030234</v>
      </c>
      <c r="P20" s="42">
        <f t="shared" si="2"/>
        <v>1066063</v>
      </c>
      <c r="Q20" s="42">
        <f t="shared" si="2"/>
        <v>1044596</v>
      </c>
      <c r="R20" s="42">
        <f t="shared" si="2"/>
        <v>917272</v>
      </c>
      <c r="S20" s="43">
        <f t="shared" si="2"/>
        <v>932503</v>
      </c>
    </row>
    <row r="21" spans="2:17" s="9" customFormat="1" ht="12.75">
      <c r="B21" s="44"/>
      <c r="C21" s="44"/>
      <c r="D21" s="44"/>
      <c r="E21" s="44"/>
      <c r="F21" s="44"/>
      <c r="G21" s="44"/>
      <c r="H21" s="44"/>
      <c r="I21" s="44"/>
      <c r="J21" s="12"/>
      <c r="K21" s="12"/>
      <c r="L21" s="12"/>
      <c r="M21" s="12"/>
      <c r="N21" s="12"/>
      <c r="O21" s="12"/>
      <c r="P21" s="12"/>
      <c r="Q21" s="12"/>
    </row>
    <row r="22" spans="2:17" s="9" customFormat="1" ht="13.5" thickBot="1">
      <c r="B22" s="44"/>
      <c r="C22" s="44"/>
      <c r="D22" s="44"/>
      <c r="E22" s="44"/>
      <c r="F22" s="44"/>
      <c r="G22" s="44"/>
      <c r="H22" s="44"/>
      <c r="I22" s="44"/>
      <c r="J22" s="12"/>
      <c r="K22" s="12"/>
      <c r="L22" s="12"/>
      <c r="M22" s="12"/>
      <c r="N22" s="12"/>
      <c r="O22" s="12"/>
      <c r="P22" s="12"/>
      <c r="Q22" s="12"/>
    </row>
    <row r="23" spans="1:19" s="16" customFormat="1" ht="13.5" thickBot="1">
      <c r="A23" s="31" t="s">
        <v>24</v>
      </c>
      <c r="B23" s="32" t="s">
        <v>172</v>
      </c>
      <c r="C23" s="63" t="s">
        <v>173</v>
      </c>
      <c r="D23" s="110" t="s">
        <v>166</v>
      </c>
      <c r="E23" s="161">
        <v>44228</v>
      </c>
      <c r="F23" s="113">
        <v>43862</v>
      </c>
      <c r="G23" s="113">
        <v>43497</v>
      </c>
      <c r="H23" s="113">
        <v>43132</v>
      </c>
      <c r="I23" s="33">
        <v>42767</v>
      </c>
      <c r="J23" s="33">
        <v>42401</v>
      </c>
      <c r="K23" s="33">
        <v>42036</v>
      </c>
      <c r="L23" s="33">
        <v>41671</v>
      </c>
      <c r="M23" s="33">
        <v>41306</v>
      </c>
      <c r="N23" s="33">
        <v>40940</v>
      </c>
      <c r="O23" s="33">
        <v>40575</v>
      </c>
      <c r="P23" s="33">
        <v>40210</v>
      </c>
      <c r="Q23" s="33">
        <v>39845</v>
      </c>
      <c r="R23" s="33">
        <v>39479</v>
      </c>
      <c r="S23" s="34">
        <v>39114</v>
      </c>
    </row>
    <row r="24" spans="1:19" ht="12.75">
      <c r="A24" s="27" t="s">
        <v>102</v>
      </c>
      <c r="B24" s="35">
        <f aca="true" t="shared" si="3" ref="B24:B29">(E24-F24)/F24</f>
        <v>2.037097719667087</v>
      </c>
      <c r="C24" s="64">
        <f>E24-'[1]Italy'!$E24</f>
        <v>-26986.60037368555</v>
      </c>
      <c r="D24" s="13">
        <f>F24-'[1]Italy'!$F24</f>
        <v>-19783.36573024302</v>
      </c>
      <c r="E24" s="148">
        <v>74038.55425601415</v>
      </c>
      <c r="F24" s="8">
        <v>24378.061257814883</v>
      </c>
      <c r="G24" s="13">
        <v>92733.47612680469</v>
      </c>
      <c r="H24" s="13">
        <v>122209.6329927511</v>
      </c>
      <c r="I24" s="156">
        <v>92132.70558864997</v>
      </c>
      <c r="J24" s="156">
        <v>109467.67267966656</v>
      </c>
      <c r="K24" s="156">
        <v>109353.5317635652</v>
      </c>
      <c r="L24" s="156">
        <v>127790.20995132683</v>
      </c>
      <c r="M24" s="156">
        <v>68886.85413368627</v>
      </c>
      <c r="N24" s="156">
        <v>150672.6423656584</v>
      </c>
      <c r="O24" s="156">
        <v>49212.14937852741</v>
      </c>
      <c r="P24" s="156">
        <v>62293.859972819504</v>
      </c>
      <c r="Q24" s="13">
        <v>47149</v>
      </c>
      <c r="R24" s="13">
        <v>34907</v>
      </c>
      <c r="S24" s="37">
        <v>67315</v>
      </c>
    </row>
    <row r="25" spans="1:19" ht="12.75">
      <c r="A25" s="27" t="s">
        <v>7</v>
      </c>
      <c r="B25" s="35">
        <f t="shared" si="3"/>
        <v>0.7908851083429074</v>
      </c>
      <c r="C25" s="64">
        <f>E25-'[1]Italy'!$E25</f>
        <v>-4449.006544959881</v>
      </c>
      <c r="D25" s="13">
        <f>F25-'[1]Italy'!$F25</f>
        <v>-1641.042232100428</v>
      </c>
      <c r="E25" s="148">
        <v>17201.483343808337</v>
      </c>
      <c r="F25" s="8">
        <v>9605.0178002344</v>
      </c>
      <c r="G25" s="13">
        <v>27007.814041736958</v>
      </c>
      <c r="H25" s="13">
        <v>28977.03404712086</v>
      </c>
      <c r="I25" s="156">
        <v>30093.061340719913</v>
      </c>
      <c r="J25" s="156">
        <v>38065.191271732285</v>
      </c>
      <c r="K25" s="156">
        <v>37403.349745662235</v>
      </c>
      <c r="L25" s="156">
        <v>45016.5486636077</v>
      </c>
      <c r="M25" s="156">
        <v>42153.69907536134</v>
      </c>
      <c r="N25" s="156">
        <v>72444.71721526374</v>
      </c>
      <c r="O25" s="156">
        <v>35378.674281806256</v>
      </c>
      <c r="P25" s="156">
        <v>57997.826691485665</v>
      </c>
      <c r="Q25" s="13">
        <v>50301</v>
      </c>
      <c r="R25" s="13">
        <v>53995</v>
      </c>
      <c r="S25" s="37">
        <v>55757</v>
      </c>
    </row>
    <row r="26" spans="1:19" ht="12.75">
      <c r="A26" s="27" t="s">
        <v>103</v>
      </c>
      <c r="B26" s="35">
        <f t="shared" si="3"/>
        <v>0.6482670958201027</v>
      </c>
      <c r="C26" s="64">
        <f>E26-'[1]Italy'!$E26</f>
        <v>-2110.807417214522</v>
      </c>
      <c r="D26" s="13">
        <f>F26-'[1]Italy'!$F26</f>
        <v>-1364.2841756545163</v>
      </c>
      <c r="E26" s="148">
        <v>3178.723658086765</v>
      </c>
      <c r="F26" s="8">
        <v>1928.5246099663095</v>
      </c>
      <c r="G26" s="13">
        <v>3690.2119677743362</v>
      </c>
      <c r="H26" s="13">
        <v>3730.106049311831</v>
      </c>
      <c r="I26" s="156">
        <v>2315.3661042283884</v>
      </c>
      <c r="J26" s="156">
        <v>7936.946147249488</v>
      </c>
      <c r="K26" s="156">
        <v>5743.418414875214</v>
      </c>
      <c r="L26" s="156">
        <v>10388.68117199772</v>
      </c>
      <c r="M26" s="156">
        <v>5033.169626177828</v>
      </c>
      <c r="N26" s="156">
        <v>14762.8532644565</v>
      </c>
      <c r="O26" s="156">
        <v>8634.639479031743</v>
      </c>
      <c r="P26" s="156">
        <v>16605.075921214888</v>
      </c>
      <c r="Q26" s="13">
        <v>7929</v>
      </c>
      <c r="R26" s="13">
        <v>12366</v>
      </c>
      <c r="S26" s="37">
        <v>17750</v>
      </c>
    </row>
    <row r="27" spans="1:19" ht="12.75">
      <c r="A27" s="27" t="s">
        <v>29</v>
      </c>
      <c r="B27" s="35">
        <f t="shared" si="3"/>
        <v>2.82429727760544</v>
      </c>
      <c r="C27" s="64">
        <f>E27-'[1]Italy'!$E27</f>
        <v>-3250.8627674022428</v>
      </c>
      <c r="D27" s="13">
        <f>F27-'[1]Italy'!$F27</f>
        <v>-2387.0543586801123</v>
      </c>
      <c r="E27" s="148">
        <v>18111.793643596113</v>
      </c>
      <c r="F27" s="8">
        <v>4735.9795352877745</v>
      </c>
      <c r="G27" s="13">
        <v>14639.881603464646</v>
      </c>
      <c r="H27" s="13">
        <v>17741.350952149736</v>
      </c>
      <c r="I27" s="156">
        <v>12253.168097963897</v>
      </c>
      <c r="J27" s="156">
        <v>23309.81091912353</v>
      </c>
      <c r="K27" s="156">
        <v>12419.53676337936</v>
      </c>
      <c r="L27" s="156">
        <v>29521.317451482635</v>
      </c>
      <c r="M27" s="156">
        <v>14018.665143009037</v>
      </c>
      <c r="N27" s="156">
        <v>26825.472111268613</v>
      </c>
      <c r="O27" s="156">
        <v>10634.286872284827</v>
      </c>
      <c r="P27" s="156">
        <v>24168.833800647335</v>
      </c>
      <c r="Q27" s="13">
        <v>8151</v>
      </c>
      <c r="R27" s="13">
        <v>17018</v>
      </c>
      <c r="S27" s="37">
        <v>17654</v>
      </c>
    </row>
    <row r="28" spans="1:19" ht="13.5" thickBot="1">
      <c r="A28" s="38" t="s">
        <v>58</v>
      </c>
      <c r="B28" s="36">
        <f t="shared" si="3"/>
        <v>1.3571655024042504</v>
      </c>
      <c r="C28" s="65">
        <f>E28-'[1]Italy'!$E28</f>
        <v>-13027.627506377119</v>
      </c>
      <c r="D28" s="15">
        <f>F28-'[1]Italy'!$F28</f>
        <v>-11066.878045309735</v>
      </c>
      <c r="E28" s="162">
        <v>13159.282737627573</v>
      </c>
      <c r="F28" s="15">
        <v>5582.67237671917</v>
      </c>
      <c r="G28" s="15">
        <v>9712.610844960305</v>
      </c>
      <c r="H28" s="15">
        <v>7166</v>
      </c>
      <c r="I28" s="157">
        <v>3924.3120307857466</v>
      </c>
      <c r="J28" s="157">
        <v>4384.868344068297</v>
      </c>
      <c r="K28" s="157">
        <v>2513.716887034701</v>
      </c>
      <c r="L28" s="157">
        <v>14632.694152505564</v>
      </c>
      <c r="M28" s="157">
        <v>6216.359827171988</v>
      </c>
      <c r="N28" s="157">
        <v>7655.539014213786</v>
      </c>
      <c r="O28" s="157">
        <v>5247.866876244232</v>
      </c>
      <c r="P28" s="157">
        <v>7832.637128722734</v>
      </c>
      <c r="Q28" s="15">
        <v>704</v>
      </c>
      <c r="R28" s="15">
        <v>1706</v>
      </c>
      <c r="S28" s="39">
        <v>1241</v>
      </c>
    </row>
    <row r="29" spans="1:19" ht="13.5" thickBot="1">
      <c r="A29" s="40" t="s">
        <v>22</v>
      </c>
      <c r="B29" s="41">
        <f t="shared" si="3"/>
        <v>1.7187787751155585</v>
      </c>
      <c r="C29" s="66">
        <f>E29-'[1]Italy'!$E29</f>
        <v>-49824.904609639314</v>
      </c>
      <c r="D29" s="42">
        <f>F29-'[1]Italy'!$F29</f>
        <v>-36242.6245419878</v>
      </c>
      <c r="E29" s="138">
        <f>SUM(E24:E28)</f>
        <v>125689.83763913292</v>
      </c>
      <c r="F29" s="42">
        <f>SUM(F24:F28)</f>
        <v>46230.255580022545</v>
      </c>
      <c r="G29" s="42">
        <f>SUM(G24:G28)</f>
        <v>147783.99458474095</v>
      </c>
      <c r="H29" s="42">
        <f>SUM(H24:H28)</f>
        <v>179824.12404133353</v>
      </c>
      <c r="I29" s="170">
        <v>140718.61316234793</v>
      </c>
      <c r="J29" s="42">
        <v>183164.48936184015</v>
      </c>
      <c r="K29" s="42">
        <f>SUM(K24:K28)</f>
        <v>167433.55357451673</v>
      </c>
      <c r="L29" s="42">
        <f>SUM(L24:L28)</f>
        <v>227349.45139092044</v>
      </c>
      <c r="M29" s="42">
        <f>SUM(M24:M28)</f>
        <v>136308.74780540648</v>
      </c>
      <c r="N29" s="42">
        <f aca="true" t="shared" si="4" ref="N29:S29">SUM(N24:N28)</f>
        <v>272361.223970861</v>
      </c>
      <c r="O29" s="42">
        <f t="shared" si="4"/>
        <v>109107.61688789446</v>
      </c>
      <c r="P29" s="42">
        <f t="shared" si="4"/>
        <v>168898.23351489013</v>
      </c>
      <c r="Q29" s="42">
        <f t="shared" si="4"/>
        <v>114234</v>
      </c>
      <c r="R29" s="42">
        <f t="shared" si="4"/>
        <v>119992</v>
      </c>
      <c r="S29" s="43">
        <f t="shared" si="4"/>
        <v>159717</v>
      </c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5"/>
      <c r="S45" s="1"/>
      <c r="T45" s="1"/>
    </row>
    <row r="46" spans="18:20" ht="18">
      <c r="R46" s="6"/>
      <c r="S46" s="1"/>
      <c r="T46" s="1"/>
    </row>
    <row r="47" spans="18:20" ht="18">
      <c r="R47" s="7"/>
      <c r="S47" s="2"/>
      <c r="T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8" width="11.421875" style="9" customWidth="1"/>
    <col min="9" max="9" width="10.140625" style="0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54" t="s">
        <v>4</v>
      </c>
      <c r="B2" s="149"/>
      <c r="C2" s="64">
        <f>E2-'[1]Poland'!E2</f>
        <v>0</v>
      </c>
      <c r="D2" s="13">
        <f>F2-'[1]Poland'!F2</f>
        <v>0</v>
      </c>
      <c r="E2" s="148"/>
      <c r="F2" s="8"/>
      <c r="G2" s="8"/>
      <c r="H2" s="13">
        <v>0</v>
      </c>
      <c r="I2" s="13">
        <v>0</v>
      </c>
      <c r="J2" s="13">
        <v>0</v>
      </c>
      <c r="K2" s="13">
        <v>0</v>
      </c>
      <c r="L2" s="13"/>
      <c r="M2" s="13"/>
      <c r="N2" s="13"/>
      <c r="O2" s="13"/>
      <c r="P2" s="13">
        <v>3000</v>
      </c>
      <c r="Q2" s="13">
        <v>2000</v>
      </c>
      <c r="R2" s="13">
        <v>0</v>
      </c>
      <c r="S2" s="37">
        <v>0</v>
      </c>
    </row>
    <row r="3" spans="1:19" ht="12.75">
      <c r="A3" s="54" t="s">
        <v>32</v>
      </c>
      <c r="B3" s="149"/>
      <c r="C3" s="64">
        <f>E3-'[1]Poland'!E3</f>
        <v>0</v>
      </c>
      <c r="D3" s="13">
        <f>F3-'[1]Poland'!F3</f>
        <v>0</v>
      </c>
      <c r="E3" s="148"/>
      <c r="F3" s="8"/>
      <c r="G3" s="8"/>
      <c r="H3" s="13">
        <v>0</v>
      </c>
      <c r="I3" s="13">
        <v>0</v>
      </c>
      <c r="J3" s="13">
        <v>0</v>
      </c>
      <c r="K3" s="13">
        <v>0</v>
      </c>
      <c r="L3" s="13">
        <v>500</v>
      </c>
      <c r="M3" s="13">
        <v>2000</v>
      </c>
      <c r="N3" s="13">
        <v>2000</v>
      </c>
      <c r="O3" s="13">
        <v>12000</v>
      </c>
      <c r="P3" s="13">
        <v>15000</v>
      </c>
      <c r="Q3" s="13">
        <v>10000</v>
      </c>
      <c r="R3" s="13">
        <v>4000</v>
      </c>
      <c r="S3" s="37">
        <v>15000</v>
      </c>
    </row>
    <row r="4" spans="1:19" ht="12.75">
      <c r="A4" s="27" t="s">
        <v>2</v>
      </c>
      <c r="B4" s="149"/>
      <c r="C4" s="64">
        <f>E4-'[1]Poland'!E4</f>
        <v>0</v>
      </c>
      <c r="D4" s="13">
        <f>F4-'[1]Poland'!F4</f>
        <v>0</v>
      </c>
      <c r="E4" s="148"/>
      <c r="F4" s="8"/>
      <c r="G4" s="8"/>
      <c r="H4" s="13">
        <v>0</v>
      </c>
      <c r="I4" s="13">
        <v>0</v>
      </c>
      <c r="J4" s="13">
        <v>0</v>
      </c>
      <c r="K4" s="13">
        <v>0</v>
      </c>
      <c r="L4" s="13">
        <v>500</v>
      </c>
      <c r="M4" s="13">
        <v>2000</v>
      </c>
      <c r="N4" s="13">
        <v>2000</v>
      </c>
      <c r="O4" s="13"/>
      <c r="P4" s="13">
        <v>10000</v>
      </c>
      <c r="Q4" s="13">
        <v>8000</v>
      </c>
      <c r="R4" s="13">
        <v>1000</v>
      </c>
      <c r="S4" s="37">
        <v>1000</v>
      </c>
    </row>
    <row r="5" spans="1:19" ht="12.75">
      <c r="A5" s="27" t="s">
        <v>9</v>
      </c>
      <c r="B5" s="149">
        <f>(E5-F5)/F5</f>
        <v>0.14285714285714285</v>
      </c>
      <c r="C5" s="64">
        <f>E5-'[1]Poland'!E5</f>
        <v>-40000</v>
      </c>
      <c r="D5" s="13">
        <f>F5-'[1]Poland'!F5</f>
        <v>-25000</v>
      </c>
      <c r="E5" s="148">
        <v>80000</v>
      </c>
      <c r="F5" s="8">
        <v>70000</v>
      </c>
      <c r="G5" s="8">
        <v>90000</v>
      </c>
      <c r="H5" s="13">
        <v>40000</v>
      </c>
      <c r="I5" s="13">
        <v>40000</v>
      </c>
      <c r="J5" s="13">
        <v>50000</v>
      </c>
      <c r="K5" s="13">
        <v>50000</v>
      </c>
      <c r="L5" s="13">
        <v>70000</v>
      </c>
      <c r="M5" s="13">
        <v>35000</v>
      </c>
      <c r="N5" s="13">
        <v>50000</v>
      </c>
      <c r="O5" s="13">
        <v>55000</v>
      </c>
      <c r="P5" s="13">
        <v>55000</v>
      </c>
      <c r="Q5" s="13">
        <v>35000</v>
      </c>
      <c r="R5" s="13">
        <v>25000</v>
      </c>
      <c r="S5" s="37">
        <v>28000</v>
      </c>
    </row>
    <row r="6" spans="1:19" ht="12.75">
      <c r="A6" s="27" t="s">
        <v>14</v>
      </c>
      <c r="B6" s="149">
        <f aca="true" t="shared" si="0" ref="B6:B18">(E6-F6)/F6</f>
        <v>0</v>
      </c>
      <c r="C6" s="64">
        <f>E6-'[1]Poland'!E6</f>
        <v>-5000</v>
      </c>
      <c r="D6" s="13">
        <f>F6-'[1]Poland'!F6</f>
        <v>-5000</v>
      </c>
      <c r="E6" s="148">
        <v>65000</v>
      </c>
      <c r="F6" s="8">
        <v>65000</v>
      </c>
      <c r="G6" s="192">
        <v>80000</v>
      </c>
      <c r="H6" s="13">
        <v>80000</v>
      </c>
      <c r="I6" s="13">
        <v>80000</v>
      </c>
      <c r="J6" s="13">
        <v>80000</v>
      </c>
      <c r="K6" s="13">
        <v>70000</v>
      </c>
      <c r="L6" s="13">
        <v>80000</v>
      </c>
      <c r="M6" s="13">
        <v>80000</v>
      </c>
      <c r="N6" s="13">
        <v>75000</v>
      </c>
      <c r="O6" s="13">
        <v>20000</v>
      </c>
      <c r="P6" s="13">
        <v>15000</v>
      </c>
      <c r="Q6" s="13">
        <v>10000</v>
      </c>
      <c r="R6" s="13">
        <v>10000</v>
      </c>
      <c r="S6" s="37">
        <v>20000</v>
      </c>
    </row>
    <row r="7" spans="1:19" ht="12.75">
      <c r="A7" s="29" t="s">
        <v>3</v>
      </c>
      <c r="B7" s="149">
        <f t="shared" si="0"/>
        <v>0.1111111111111111</v>
      </c>
      <c r="C7" s="64">
        <f>E7-'[1]Poland'!E7</f>
        <v>-30000</v>
      </c>
      <c r="D7" s="13">
        <f>F7-'[1]Poland'!F7</f>
        <v>-10000</v>
      </c>
      <c r="E7" s="148">
        <v>100000</v>
      </c>
      <c r="F7" s="8">
        <v>90000</v>
      </c>
      <c r="G7" s="8">
        <v>120000</v>
      </c>
      <c r="H7" s="13">
        <v>120000</v>
      </c>
      <c r="I7" s="111">
        <v>135000</v>
      </c>
      <c r="J7" s="111">
        <v>140000</v>
      </c>
      <c r="K7" s="111">
        <v>140000</v>
      </c>
      <c r="L7" s="111">
        <v>110000</v>
      </c>
      <c r="M7" s="111">
        <v>110000</v>
      </c>
      <c r="N7" s="111">
        <v>110000</v>
      </c>
      <c r="O7" s="111">
        <v>58000</v>
      </c>
      <c r="P7" s="111">
        <v>70000</v>
      </c>
      <c r="Q7" s="111">
        <v>85000</v>
      </c>
      <c r="R7" s="13">
        <v>55000</v>
      </c>
      <c r="S7" s="37">
        <v>45000</v>
      </c>
    </row>
    <row r="8" spans="1:19" ht="12.75">
      <c r="A8" s="29" t="s">
        <v>10</v>
      </c>
      <c r="B8" s="149">
        <f t="shared" si="0"/>
        <v>0.5384615384615384</v>
      </c>
      <c r="C8" s="64">
        <f>E8-'[1]Poland'!E8</f>
        <v>-30000</v>
      </c>
      <c r="D8" s="13">
        <f>F8-'[1]Poland'!F8</f>
        <v>-30000</v>
      </c>
      <c r="E8" s="148">
        <v>200000</v>
      </c>
      <c r="F8" s="8">
        <v>130000</v>
      </c>
      <c r="G8" s="8">
        <v>270000</v>
      </c>
      <c r="H8" s="13">
        <v>120000</v>
      </c>
      <c r="I8" s="111">
        <v>275000</v>
      </c>
      <c r="J8" s="111">
        <v>280000</v>
      </c>
      <c r="K8" s="111">
        <v>270000</v>
      </c>
      <c r="L8" s="111">
        <v>220000</v>
      </c>
      <c r="M8" s="111">
        <v>210000</v>
      </c>
      <c r="N8" s="111">
        <v>205000</v>
      </c>
      <c r="O8" s="111">
        <v>88000</v>
      </c>
      <c r="P8" s="111">
        <v>100000</v>
      </c>
      <c r="Q8" s="111">
        <v>130000</v>
      </c>
      <c r="R8" s="13">
        <v>30000</v>
      </c>
      <c r="S8" s="37">
        <v>70000</v>
      </c>
    </row>
    <row r="9" spans="1:19" ht="12.75">
      <c r="A9" s="29" t="s">
        <v>26</v>
      </c>
      <c r="B9" s="149">
        <f t="shared" si="0"/>
        <v>1.6666666666666667</v>
      </c>
      <c r="C9" s="64">
        <f>E9-'[1]Poland'!E9</f>
        <v>-20000</v>
      </c>
      <c r="D9" s="13">
        <f>F9-'[1]Poland'!F9</f>
        <v>-20000</v>
      </c>
      <c r="E9" s="148">
        <v>80000</v>
      </c>
      <c r="F9" s="8">
        <v>30000</v>
      </c>
      <c r="G9" s="8">
        <v>70000</v>
      </c>
      <c r="H9" s="13">
        <v>30000</v>
      </c>
      <c r="I9" s="111">
        <v>80000</v>
      </c>
      <c r="J9" s="111">
        <v>80000</v>
      </c>
      <c r="K9" s="111">
        <v>80000</v>
      </c>
      <c r="L9" s="111">
        <v>70000</v>
      </c>
      <c r="M9" s="111">
        <v>70000</v>
      </c>
      <c r="N9" s="111">
        <v>75000</v>
      </c>
      <c r="O9" s="111">
        <v>30000</v>
      </c>
      <c r="P9" s="111">
        <v>60000</v>
      </c>
      <c r="Q9" s="111">
        <v>10000</v>
      </c>
      <c r="R9" s="13">
        <v>2000</v>
      </c>
      <c r="S9" s="37">
        <v>8000</v>
      </c>
    </row>
    <row r="10" spans="1:19" ht="12.75">
      <c r="A10" s="29" t="s">
        <v>155</v>
      </c>
      <c r="B10" s="149">
        <f t="shared" si="0"/>
        <v>3.5</v>
      </c>
      <c r="C10" s="64">
        <f>E10-'[1]Poland'!E10</f>
        <v>-30000</v>
      </c>
      <c r="D10" s="13">
        <f>F10-'[1]Poland'!F10</f>
        <v>-10000</v>
      </c>
      <c r="E10" s="148">
        <v>90000</v>
      </c>
      <c r="F10" s="8">
        <v>20000</v>
      </c>
      <c r="G10" s="8">
        <v>120000</v>
      </c>
      <c r="H10" s="13">
        <v>60000</v>
      </c>
      <c r="I10" s="111">
        <v>100000</v>
      </c>
      <c r="J10" s="111">
        <v>110000</v>
      </c>
      <c r="K10" s="111">
        <v>105000</v>
      </c>
      <c r="L10" s="111">
        <v>95000</v>
      </c>
      <c r="M10" s="111">
        <v>100000</v>
      </c>
      <c r="N10" s="111">
        <v>100000</v>
      </c>
      <c r="O10" s="111"/>
      <c r="P10" s="111">
        <v>8000</v>
      </c>
      <c r="Q10" s="111">
        <v>5000</v>
      </c>
      <c r="R10" s="13">
        <v>2000</v>
      </c>
      <c r="S10" s="37">
        <v>2000</v>
      </c>
    </row>
    <row r="11" spans="1:19" ht="12.75">
      <c r="A11" s="91" t="s">
        <v>33</v>
      </c>
      <c r="B11" s="149"/>
      <c r="C11" s="64">
        <f>E11-'[1]Poland'!E11</f>
        <v>0</v>
      </c>
      <c r="D11" s="13">
        <f>F11-'[1]Poland'!F11</f>
        <v>0</v>
      </c>
      <c r="E11" s="148"/>
      <c r="F11" s="8"/>
      <c r="G11" s="8"/>
      <c r="H11" s="13"/>
      <c r="I11" s="111">
        <v>0</v>
      </c>
      <c r="J11" s="111">
        <v>0</v>
      </c>
      <c r="K11" s="111">
        <v>0</v>
      </c>
      <c r="L11" s="111">
        <v>500</v>
      </c>
      <c r="M11" s="111">
        <v>0</v>
      </c>
      <c r="N11" s="111">
        <v>2000</v>
      </c>
      <c r="O11" s="111">
        <v>24000</v>
      </c>
      <c r="P11" s="111">
        <v>45000</v>
      </c>
      <c r="Q11" s="111">
        <v>40000</v>
      </c>
      <c r="R11" s="13">
        <v>15000</v>
      </c>
      <c r="S11" s="37">
        <v>27000</v>
      </c>
    </row>
    <row r="12" spans="1:19" ht="12.75">
      <c r="A12" s="91" t="s">
        <v>13</v>
      </c>
      <c r="B12" s="149">
        <f t="shared" si="0"/>
        <v>2.5714285714285716</v>
      </c>
      <c r="C12" s="64">
        <f>E12-'[1]Poland'!E12</f>
        <v>-7000</v>
      </c>
      <c r="D12" s="13">
        <f>F12-'[1]Poland'!F12</f>
        <v>-3000</v>
      </c>
      <c r="E12" s="148">
        <v>25000</v>
      </c>
      <c r="F12" s="8">
        <v>7000</v>
      </c>
      <c r="G12" s="8">
        <v>25000</v>
      </c>
      <c r="H12" s="13">
        <v>10000</v>
      </c>
      <c r="I12" s="111">
        <v>10000</v>
      </c>
      <c r="J12" s="111">
        <v>10000</v>
      </c>
      <c r="K12" s="111">
        <v>10000</v>
      </c>
      <c r="L12" s="111">
        <v>10000</v>
      </c>
      <c r="M12" s="111"/>
      <c r="N12" s="111"/>
      <c r="O12" s="111"/>
      <c r="P12" s="111">
        <v>5000</v>
      </c>
      <c r="Q12" s="111">
        <v>2000</v>
      </c>
      <c r="R12" s="13">
        <v>1000</v>
      </c>
      <c r="S12" s="37">
        <v>1000</v>
      </c>
    </row>
    <row r="13" spans="1:19" ht="12.75">
      <c r="A13" s="91" t="s">
        <v>19</v>
      </c>
      <c r="B13" s="149">
        <f t="shared" si="0"/>
        <v>1.1428571428571428</v>
      </c>
      <c r="C13" s="64">
        <f>E13-'[1]Poland'!E13</f>
        <v>-8000</v>
      </c>
      <c r="D13" s="13">
        <f>F13-'[1]Poland'!F13</f>
        <v>-3000</v>
      </c>
      <c r="E13" s="148">
        <v>15000</v>
      </c>
      <c r="F13" s="8">
        <v>7000</v>
      </c>
      <c r="G13" s="8"/>
      <c r="H13" s="13">
        <v>0</v>
      </c>
      <c r="I13" s="111">
        <v>1000</v>
      </c>
      <c r="J13" s="111">
        <v>0</v>
      </c>
      <c r="K13" s="111">
        <v>1000</v>
      </c>
      <c r="L13" s="111">
        <v>1000</v>
      </c>
      <c r="M13" s="111">
        <v>0</v>
      </c>
      <c r="N13" s="111">
        <v>2000</v>
      </c>
      <c r="O13" s="111"/>
      <c r="P13" s="111">
        <v>10000</v>
      </c>
      <c r="Q13" s="111">
        <v>10000</v>
      </c>
      <c r="R13" s="13">
        <v>5000</v>
      </c>
      <c r="S13" s="37">
        <v>4000</v>
      </c>
    </row>
    <row r="14" spans="1:19" ht="12.75">
      <c r="A14" s="91" t="s">
        <v>132</v>
      </c>
      <c r="B14" s="149">
        <f t="shared" si="0"/>
        <v>0.6923076923076923</v>
      </c>
      <c r="C14" s="64">
        <f>E14-'[1]Poland'!E14</f>
        <v>-40000</v>
      </c>
      <c r="D14" s="13">
        <f>F14-'[1]Poland'!F14</f>
        <v>-35000</v>
      </c>
      <c r="E14" s="148">
        <v>110000</v>
      </c>
      <c r="F14" s="8">
        <v>65000</v>
      </c>
      <c r="G14" s="8">
        <v>50000</v>
      </c>
      <c r="H14" s="13"/>
      <c r="I14" s="111"/>
      <c r="J14" s="111"/>
      <c r="K14" s="111"/>
      <c r="L14" s="111"/>
      <c r="M14" s="111"/>
      <c r="N14" s="111"/>
      <c r="O14" s="111"/>
      <c r="P14" s="111"/>
      <c r="Q14" s="111"/>
      <c r="R14" s="13"/>
      <c r="S14" s="37"/>
    </row>
    <row r="15" spans="1:19" ht="12.75">
      <c r="A15" s="91" t="s">
        <v>87</v>
      </c>
      <c r="B15" s="149">
        <f t="shared" si="0"/>
        <v>0.25</v>
      </c>
      <c r="C15" s="64">
        <f>E15-'[1]Poland'!E15</f>
        <v>-40000</v>
      </c>
      <c r="D15" s="13">
        <f>F15-'[1]Poland'!F15</f>
        <v>-30000</v>
      </c>
      <c r="E15" s="148">
        <v>100000</v>
      </c>
      <c r="F15" s="8">
        <v>80000</v>
      </c>
      <c r="G15" s="8">
        <v>170000</v>
      </c>
      <c r="H15" s="13">
        <v>100000</v>
      </c>
      <c r="I15" s="111">
        <v>145000</v>
      </c>
      <c r="J15" s="111">
        <v>150000</v>
      </c>
      <c r="K15" s="111">
        <v>140000</v>
      </c>
      <c r="L15" s="111">
        <v>140000</v>
      </c>
      <c r="M15" s="111">
        <v>100000</v>
      </c>
      <c r="N15" s="111">
        <v>105000</v>
      </c>
      <c r="O15" s="111">
        <v>60000</v>
      </c>
      <c r="P15" s="111">
        <v>45000</v>
      </c>
      <c r="Q15" s="111">
        <v>60000</v>
      </c>
      <c r="R15" s="13">
        <v>25000</v>
      </c>
      <c r="S15" s="37">
        <v>44000</v>
      </c>
    </row>
    <row r="16" spans="1:19" ht="12.75">
      <c r="A16" s="91" t="s">
        <v>34</v>
      </c>
      <c r="B16" s="149"/>
      <c r="C16" s="64">
        <f>E16-'[1]Poland'!E16</f>
        <v>0</v>
      </c>
      <c r="D16" s="13">
        <f>F16-'[1]Poland'!F16</f>
        <v>0</v>
      </c>
      <c r="E16" s="148"/>
      <c r="F16" s="8"/>
      <c r="G16" s="8"/>
      <c r="H16" s="13"/>
      <c r="I16" s="111"/>
      <c r="J16" s="111">
        <v>0</v>
      </c>
      <c r="K16" s="111">
        <v>0</v>
      </c>
      <c r="L16" s="111"/>
      <c r="M16" s="111"/>
      <c r="N16" s="111"/>
      <c r="O16" s="111"/>
      <c r="P16" s="111">
        <v>2000</v>
      </c>
      <c r="Q16" s="111">
        <v>5000</v>
      </c>
      <c r="R16" s="13">
        <v>0</v>
      </c>
      <c r="S16" s="37">
        <v>0</v>
      </c>
    </row>
    <row r="17" spans="1:19" ht="13.5" thickBot="1">
      <c r="A17" s="28" t="s">
        <v>58</v>
      </c>
      <c r="B17" s="149">
        <f t="shared" si="0"/>
        <v>1.8571428571428572</v>
      </c>
      <c r="C17" s="64">
        <f>E17-'[1]Poland'!E17</f>
        <v>-50000</v>
      </c>
      <c r="D17" s="13">
        <f>F17-'[1]Poland'!F17</f>
        <v>-30000</v>
      </c>
      <c r="E17" s="148">
        <v>200000</v>
      </c>
      <c r="F17" s="13">
        <v>70000</v>
      </c>
      <c r="G17" s="13">
        <v>220000</v>
      </c>
      <c r="H17" s="13">
        <v>100000</v>
      </c>
      <c r="I17" s="111">
        <v>160000</v>
      </c>
      <c r="J17" s="111">
        <v>170000</v>
      </c>
      <c r="K17" s="111">
        <v>150000</v>
      </c>
      <c r="L17" s="111">
        <v>80000</v>
      </c>
      <c r="M17" s="111">
        <v>110000</v>
      </c>
      <c r="N17" s="111">
        <v>75000</v>
      </c>
      <c r="O17" s="111">
        <v>23000</v>
      </c>
      <c r="P17" s="111">
        <v>17000</v>
      </c>
      <c r="Q17" s="111">
        <v>18000</v>
      </c>
      <c r="R17" s="13">
        <v>25000</v>
      </c>
      <c r="S17" s="37">
        <v>25000</v>
      </c>
    </row>
    <row r="18" spans="1:19" ht="13.5" thickBot="1">
      <c r="A18" s="195" t="s">
        <v>22</v>
      </c>
      <c r="B18" s="140">
        <f t="shared" si="0"/>
        <v>0.6798107255520505</v>
      </c>
      <c r="C18" s="191">
        <f>E18-'[1]Poland'!E18</f>
        <v>-300000</v>
      </c>
      <c r="D18" s="125">
        <f>F18-'[1]Poland'!F18</f>
        <v>-201000</v>
      </c>
      <c r="E18" s="59">
        <f>SUM(E2:E17)</f>
        <v>1065000</v>
      </c>
      <c r="F18" s="125">
        <f>SUM(F2:F17)</f>
        <v>634000</v>
      </c>
      <c r="G18" s="125">
        <f>SUM(G2:G17)</f>
        <v>1215000</v>
      </c>
      <c r="H18" s="125">
        <f aca="true" t="shared" si="1" ref="H18:M18">SUM(H2:H17)</f>
        <v>660000</v>
      </c>
      <c r="I18" s="125">
        <f t="shared" si="1"/>
        <v>1026000</v>
      </c>
      <c r="J18" s="125">
        <f t="shared" si="1"/>
        <v>1070000</v>
      </c>
      <c r="K18" s="125">
        <f t="shared" si="1"/>
        <v>1016000</v>
      </c>
      <c r="L18" s="125">
        <f t="shared" si="1"/>
        <v>877500</v>
      </c>
      <c r="M18" s="125">
        <f t="shared" si="1"/>
        <v>819000</v>
      </c>
      <c r="N18" s="125">
        <f aca="true" t="shared" si="2" ref="N18:S18">SUM(N2:N17)</f>
        <v>803000</v>
      </c>
      <c r="O18" s="125">
        <f t="shared" si="2"/>
        <v>370000</v>
      </c>
      <c r="P18" s="125">
        <f t="shared" si="2"/>
        <v>460000</v>
      </c>
      <c r="Q18" s="125">
        <f t="shared" si="2"/>
        <v>430000</v>
      </c>
      <c r="R18" s="125">
        <f t="shared" si="2"/>
        <v>200000</v>
      </c>
      <c r="S18" s="196">
        <f t="shared" si="2"/>
        <v>290000</v>
      </c>
    </row>
    <row r="19" spans="2:17" s="9" customFormat="1" ht="12.75">
      <c r="B19" s="44"/>
      <c r="C19" s="44"/>
      <c r="D19" s="12"/>
      <c r="E19" s="12"/>
      <c r="G19" s="12"/>
      <c r="H19" s="12"/>
      <c r="I19" s="44"/>
      <c r="J19" s="12"/>
      <c r="K19" s="12"/>
      <c r="L19" s="12"/>
      <c r="M19" s="12"/>
      <c r="N19" s="12"/>
      <c r="O19" s="12"/>
      <c r="P19" s="12"/>
      <c r="Q19" s="12"/>
    </row>
    <row r="20" spans="2:17" s="9" customFormat="1" ht="13.5" thickBot="1">
      <c r="B20" s="44"/>
      <c r="C20" s="44"/>
      <c r="D20" s="44"/>
      <c r="E20" s="44"/>
      <c r="F20" s="198"/>
      <c r="G20" s="44"/>
      <c r="H20" s="44"/>
      <c r="I20" s="44"/>
      <c r="J20" s="12"/>
      <c r="K20" s="12"/>
      <c r="L20" s="12"/>
      <c r="M20" s="12"/>
      <c r="N20" s="12"/>
      <c r="O20" s="12"/>
      <c r="P20" s="12"/>
      <c r="Q20" s="12"/>
    </row>
    <row r="21" spans="1:19" s="16" customFormat="1" ht="13.5" thickBot="1">
      <c r="A21" s="31" t="s">
        <v>24</v>
      </c>
      <c r="B21" s="32" t="s">
        <v>172</v>
      </c>
      <c r="C21" s="63" t="s">
        <v>173</v>
      </c>
      <c r="D21" s="110" t="s">
        <v>166</v>
      </c>
      <c r="E21" s="161">
        <v>44228</v>
      </c>
      <c r="F21" s="113">
        <v>43862</v>
      </c>
      <c r="G21" s="113">
        <v>43497</v>
      </c>
      <c r="H21" s="113">
        <v>43132</v>
      </c>
      <c r="I21" s="33">
        <v>42767</v>
      </c>
      <c r="J21" s="33">
        <v>42401</v>
      </c>
      <c r="K21" s="33">
        <v>42036</v>
      </c>
      <c r="L21" s="33">
        <v>41671</v>
      </c>
      <c r="M21" s="33">
        <v>41306</v>
      </c>
      <c r="N21" s="33">
        <v>40940</v>
      </c>
      <c r="O21" s="33">
        <v>40575</v>
      </c>
      <c r="P21" s="33">
        <v>40210</v>
      </c>
      <c r="Q21" s="33">
        <v>39845</v>
      </c>
      <c r="R21" s="33">
        <v>39479</v>
      </c>
      <c r="S21" s="34">
        <v>39114</v>
      </c>
    </row>
    <row r="22" spans="1:19" ht="12.75">
      <c r="A22" s="27" t="s">
        <v>7</v>
      </c>
      <c r="B22" s="35">
        <f>(E22-F22)/F22</f>
        <v>8</v>
      </c>
      <c r="C22" s="64">
        <f>E22-'[1]Poland'!E22</f>
        <v>-13000</v>
      </c>
      <c r="D22" s="13">
        <f>F22-'[1]Poland'!F22</f>
        <v>-5000</v>
      </c>
      <c r="E22" s="148">
        <v>9000</v>
      </c>
      <c r="F22" s="8">
        <v>1000</v>
      </c>
      <c r="G22" s="8">
        <v>8000</v>
      </c>
      <c r="H22" s="13">
        <v>1000</v>
      </c>
      <c r="I22" s="13">
        <v>1000</v>
      </c>
      <c r="J22" s="13">
        <v>6000</v>
      </c>
      <c r="K22" s="13">
        <v>3000</v>
      </c>
      <c r="L22" s="13">
        <v>10000</v>
      </c>
      <c r="M22" s="13">
        <v>1000</v>
      </c>
      <c r="N22" s="13">
        <v>7000</v>
      </c>
      <c r="O22" s="13">
        <v>6000</v>
      </c>
      <c r="P22" s="13">
        <v>15000</v>
      </c>
      <c r="Q22" s="13">
        <v>7000</v>
      </c>
      <c r="R22" s="13">
        <v>4000</v>
      </c>
      <c r="S22" s="37">
        <v>10000</v>
      </c>
    </row>
    <row r="23" spans="1:19" ht="12.75">
      <c r="A23" s="54" t="s">
        <v>91</v>
      </c>
      <c r="B23" s="149"/>
      <c r="C23" s="64">
        <f>E23-'[1]Poland'!E23</f>
        <v>0</v>
      </c>
      <c r="D23" s="13">
        <f>F23-'[1]Poland'!F23</f>
        <v>0</v>
      </c>
      <c r="E23" s="148"/>
      <c r="F23" s="8"/>
      <c r="G23" s="8"/>
      <c r="H23" s="13">
        <v>0</v>
      </c>
      <c r="I23" s="13">
        <v>0</v>
      </c>
      <c r="J23" s="13">
        <v>0</v>
      </c>
      <c r="K23" s="13">
        <v>0</v>
      </c>
      <c r="L23" s="13"/>
      <c r="M23" s="13"/>
      <c r="N23" s="13"/>
      <c r="O23" s="13"/>
      <c r="P23" s="13">
        <v>0</v>
      </c>
      <c r="Q23" s="13">
        <v>0</v>
      </c>
      <c r="R23" s="13">
        <v>0</v>
      </c>
      <c r="S23" s="37">
        <v>0</v>
      </c>
    </row>
    <row r="24" spans="1:19" ht="13.5" thickBot="1">
      <c r="A24" s="38" t="s">
        <v>58</v>
      </c>
      <c r="B24" s="36"/>
      <c r="C24" s="65">
        <f>E24-'[1]Poland'!E24</f>
        <v>-4000</v>
      </c>
      <c r="D24" s="15">
        <f>F24-'[1]Poland'!F24</f>
        <v>-1000</v>
      </c>
      <c r="E24" s="162"/>
      <c r="F24" s="15">
        <v>0</v>
      </c>
      <c r="G24" s="15">
        <v>0</v>
      </c>
      <c r="H24" s="15">
        <v>0</v>
      </c>
      <c r="I24" s="15">
        <v>0</v>
      </c>
      <c r="J24" s="15">
        <v>1000</v>
      </c>
      <c r="K24" s="15">
        <v>0</v>
      </c>
      <c r="L24" s="15">
        <v>2000</v>
      </c>
      <c r="M24" s="15"/>
      <c r="N24" s="15">
        <v>1000</v>
      </c>
      <c r="O24" s="15">
        <v>2000</v>
      </c>
      <c r="P24" s="15">
        <v>3000</v>
      </c>
      <c r="Q24" s="15">
        <v>3000</v>
      </c>
      <c r="R24" s="15">
        <v>1000</v>
      </c>
      <c r="S24" s="39">
        <v>3000</v>
      </c>
    </row>
    <row r="25" spans="1:19" ht="13.5" thickBot="1">
      <c r="A25" s="40" t="s">
        <v>22</v>
      </c>
      <c r="B25" s="41">
        <f>(E25-F25)/F25</f>
        <v>8</v>
      </c>
      <c r="C25" s="65">
        <f>E25-'[1]Poland'!E25</f>
        <v>-17000</v>
      </c>
      <c r="D25" s="42">
        <f>F25-'[1]Poland'!F25</f>
        <v>-6000</v>
      </c>
      <c r="E25" s="138">
        <f>SUM(E22:E24)</f>
        <v>9000</v>
      </c>
      <c r="F25" s="42">
        <f>SUM(F22:F24)</f>
        <v>1000</v>
      </c>
      <c r="G25" s="42">
        <f>SUM(G22:G24)</f>
        <v>8000</v>
      </c>
      <c r="H25" s="42">
        <f aca="true" t="shared" si="3" ref="H25:M25">SUM(H22:H24)</f>
        <v>1000</v>
      </c>
      <c r="I25" s="42">
        <f t="shared" si="3"/>
        <v>1000</v>
      </c>
      <c r="J25" s="42">
        <f t="shared" si="3"/>
        <v>7000</v>
      </c>
      <c r="K25" s="42">
        <f t="shared" si="3"/>
        <v>3000</v>
      </c>
      <c r="L25" s="42">
        <f t="shared" si="3"/>
        <v>12000</v>
      </c>
      <c r="M25" s="42">
        <f t="shared" si="3"/>
        <v>1000</v>
      </c>
      <c r="N25" s="42">
        <f aca="true" t="shared" si="4" ref="N25:S25">SUM(N22:N24)</f>
        <v>8000</v>
      </c>
      <c r="O25" s="42">
        <f t="shared" si="4"/>
        <v>8000</v>
      </c>
      <c r="P25" s="42">
        <f t="shared" si="4"/>
        <v>18000</v>
      </c>
      <c r="Q25" s="42">
        <f t="shared" si="4"/>
        <v>10000</v>
      </c>
      <c r="R25" s="42">
        <f t="shared" si="4"/>
        <v>5000</v>
      </c>
      <c r="S25" s="43">
        <f t="shared" si="4"/>
        <v>13000</v>
      </c>
    </row>
    <row r="26" ht="12.75">
      <c r="I26" s="9"/>
    </row>
    <row r="27" ht="13.5">
      <c r="A27" s="194" t="s">
        <v>168</v>
      </c>
    </row>
    <row r="28" ht="13.5">
      <c r="A28" s="194" t="s">
        <v>169</v>
      </c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6"/>
      <c r="S42" s="1"/>
      <c r="T42" s="1"/>
    </row>
    <row r="43" spans="18:20" ht="18">
      <c r="R43" s="7"/>
      <c r="S43" s="2"/>
      <c r="T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1.421875" style="0" bestFit="1" customWidth="1"/>
    <col min="4" max="4" width="11.421875" style="9" bestFit="1" customWidth="1"/>
    <col min="5" max="6" width="11.421875" style="9" customWidth="1"/>
    <col min="7" max="8" width="11.00390625" style="9" customWidth="1"/>
    <col min="9" max="9" width="11.00390625" style="0" customWidth="1"/>
    <col min="10" max="15" width="10.8515625" style="0" customWidth="1"/>
  </cols>
  <sheetData>
    <row r="1" spans="1:15" ht="13.5" thickBot="1">
      <c r="A1" s="53" t="s">
        <v>89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3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49">
        <v>40575</v>
      </c>
    </row>
    <row r="2" spans="1:15" ht="12.75">
      <c r="A2" s="54" t="s">
        <v>9</v>
      </c>
      <c r="B2" s="61"/>
      <c r="C2" s="186"/>
      <c r="D2" s="171"/>
      <c r="E2" s="183"/>
      <c r="F2" s="171"/>
      <c r="G2" s="171"/>
      <c r="H2" s="93"/>
      <c r="I2" s="93"/>
      <c r="J2" s="93"/>
      <c r="K2" s="93"/>
      <c r="L2" s="93"/>
      <c r="M2" s="93"/>
      <c r="N2" s="93"/>
      <c r="O2" s="95"/>
    </row>
    <row r="3" spans="1:15" ht="12.75">
      <c r="A3" s="54" t="s">
        <v>149</v>
      </c>
      <c r="B3" s="61"/>
      <c r="C3" s="186"/>
      <c r="D3" s="171"/>
      <c r="E3" s="183"/>
      <c r="F3" s="171"/>
      <c r="G3" s="171"/>
      <c r="H3" s="93"/>
      <c r="I3" s="93"/>
      <c r="J3" s="93"/>
      <c r="K3" s="93"/>
      <c r="L3" s="93"/>
      <c r="M3" s="93"/>
      <c r="N3" s="93"/>
      <c r="O3" s="95"/>
    </row>
    <row r="4" spans="1:15" ht="12.75">
      <c r="A4" s="54" t="s">
        <v>26</v>
      </c>
      <c r="B4" s="61"/>
      <c r="C4" s="186"/>
      <c r="D4" s="171"/>
      <c r="E4" s="183"/>
      <c r="F4" s="171"/>
      <c r="G4" s="171"/>
      <c r="H4" s="93"/>
      <c r="I4" s="93"/>
      <c r="J4" s="93"/>
      <c r="K4" s="93"/>
      <c r="L4" s="93"/>
      <c r="M4" s="93"/>
      <c r="N4" s="93"/>
      <c r="O4" s="95"/>
    </row>
    <row r="5" spans="1:15" ht="12.75">
      <c r="A5" s="54" t="s">
        <v>25</v>
      </c>
      <c r="B5" s="61"/>
      <c r="C5" s="186"/>
      <c r="D5" s="171"/>
      <c r="E5" s="183"/>
      <c r="F5" s="171"/>
      <c r="G5" s="171"/>
      <c r="H5" s="93"/>
      <c r="I5" s="93"/>
      <c r="J5" s="93"/>
      <c r="K5" s="93"/>
      <c r="L5" s="93"/>
      <c r="M5" s="93"/>
      <c r="N5" s="93"/>
      <c r="O5" s="95"/>
    </row>
    <row r="6" spans="1:15" ht="12.75">
      <c r="A6" s="54" t="s">
        <v>19</v>
      </c>
      <c r="B6" s="61"/>
      <c r="C6" s="186"/>
      <c r="D6" s="171"/>
      <c r="E6" s="183"/>
      <c r="F6" s="171"/>
      <c r="G6" s="171"/>
      <c r="H6" s="93"/>
      <c r="I6" s="93"/>
      <c r="J6" s="93"/>
      <c r="K6" s="93"/>
      <c r="L6" s="93"/>
      <c r="M6" s="93"/>
      <c r="N6" s="93"/>
      <c r="O6" s="95"/>
    </row>
    <row r="7" spans="1:15" ht="12.75">
      <c r="A7" s="54" t="s">
        <v>86</v>
      </c>
      <c r="B7" s="61"/>
      <c r="C7" s="186"/>
      <c r="D7" s="171"/>
      <c r="E7" s="183"/>
      <c r="F7" s="171"/>
      <c r="G7" s="171"/>
      <c r="H7" s="93"/>
      <c r="I7" s="93"/>
      <c r="J7" s="93"/>
      <c r="K7" s="93"/>
      <c r="L7" s="93"/>
      <c r="M7" s="93"/>
      <c r="N7" s="93"/>
      <c r="O7" s="95"/>
    </row>
    <row r="8" spans="1:15" ht="13.5" thickBot="1">
      <c r="A8" s="55" t="s">
        <v>6</v>
      </c>
      <c r="B8" s="62"/>
      <c r="C8" s="187"/>
      <c r="D8" s="189"/>
      <c r="E8" s="184"/>
      <c r="F8" s="189"/>
      <c r="G8" s="189"/>
      <c r="H8" s="94"/>
      <c r="I8" s="93"/>
      <c r="J8" s="93"/>
      <c r="K8" s="93"/>
      <c r="L8" s="93"/>
      <c r="M8" s="93"/>
      <c r="N8" s="93"/>
      <c r="O8" s="95"/>
    </row>
    <row r="9" spans="1:15" ht="13.5" thickBot="1">
      <c r="A9" s="56" t="s">
        <v>90</v>
      </c>
      <c r="B9" s="108"/>
      <c r="C9" s="188"/>
      <c r="D9" s="190"/>
      <c r="E9" s="185"/>
      <c r="F9" s="190"/>
      <c r="G9" s="190"/>
      <c r="H9" s="125"/>
      <c r="I9" s="125"/>
      <c r="J9" s="125"/>
      <c r="K9" s="125"/>
      <c r="L9" s="125"/>
      <c r="M9" s="125"/>
      <c r="N9" s="125"/>
      <c r="O9" s="130"/>
    </row>
    <row r="10" spans="9:15" ht="12.75">
      <c r="I10" s="9"/>
      <c r="J10" s="9"/>
      <c r="K10" s="9"/>
      <c r="L10" s="9"/>
      <c r="M10" s="9"/>
      <c r="N10" s="9"/>
      <c r="O10" s="9"/>
    </row>
    <row r="11" spans="2:15" ht="13.5" thickBot="1">
      <c r="B11" s="3"/>
      <c r="C11" s="3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3.5" thickBot="1">
      <c r="A12" s="68" t="s">
        <v>89</v>
      </c>
      <c r="B12" s="32" t="s">
        <v>172</v>
      </c>
      <c r="C12" s="63" t="s">
        <v>173</v>
      </c>
      <c r="D12" s="110" t="s">
        <v>166</v>
      </c>
      <c r="E12" s="161">
        <v>44228</v>
      </c>
      <c r="F12" s="113">
        <v>43862</v>
      </c>
      <c r="G12" s="113">
        <v>43497</v>
      </c>
      <c r="H12" s="33">
        <v>43132</v>
      </c>
      <c r="I12" s="33">
        <v>42767</v>
      </c>
      <c r="J12" s="33">
        <v>42401</v>
      </c>
      <c r="K12" s="33">
        <v>42036</v>
      </c>
      <c r="L12" s="33">
        <v>41671</v>
      </c>
      <c r="M12" s="33">
        <v>41306</v>
      </c>
      <c r="N12" s="33">
        <v>40940</v>
      </c>
      <c r="O12" s="49">
        <v>40575</v>
      </c>
    </row>
    <row r="13" spans="1:15" ht="13.5" thickBot="1">
      <c r="A13" s="71" t="s">
        <v>150</v>
      </c>
      <c r="B13" s="72">
        <f>(E13-F13)/F13</f>
        <v>-1</v>
      </c>
      <c r="C13" s="191"/>
      <c r="D13" s="98">
        <f>F13-'[1]Portugal'!F13</f>
        <v>-20205</v>
      </c>
      <c r="E13" s="73"/>
      <c r="F13" s="98">
        <v>66403</v>
      </c>
      <c r="G13" s="193">
        <v>56990</v>
      </c>
      <c r="H13" s="98"/>
      <c r="I13" s="98"/>
      <c r="J13" s="98"/>
      <c r="K13" s="98"/>
      <c r="L13" s="98"/>
      <c r="M13" s="98"/>
      <c r="N13" s="98"/>
      <c r="O13" s="100"/>
    </row>
    <row r="14" spans="1:15" ht="13.5" thickBot="1">
      <c r="A14" s="68" t="s">
        <v>90</v>
      </c>
      <c r="B14" s="80">
        <f>(E14-F14)/F14</f>
        <v>-1</v>
      </c>
      <c r="C14" s="191"/>
      <c r="D14" s="118">
        <f>F14-'[1]Portugal'!F14</f>
        <v>-20205</v>
      </c>
      <c r="E14" s="81"/>
      <c r="F14" s="118">
        <f>SUM(F13)</f>
        <v>66403</v>
      </c>
      <c r="G14" s="125">
        <v>56990</v>
      </c>
      <c r="H14" s="118"/>
      <c r="I14" s="118"/>
      <c r="J14" s="118"/>
      <c r="K14" s="118"/>
      <c r="L14" s="118"/>
      <c r="M14" s="118"/>
      <c r="N14" s="118"/>
      <c r="O14" s="135"/>
    </row>
    <row r="15" ht="12.75">
      <c r="A15" t="s">
        <v>161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9.421875" style="0" customWidth="1"/>
    <col min="2" max="2" width="10.7109375" style="0" customWidth="1"/>
    <col min="3" max="3" width="11.421875" style="0" customWidth="1"/>
    <col min="4" max="8" width="11.8515625" style="9" customWidth="1"/>
    <col min="9" max="9" width="10.140625" style="0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27" t="s">
        <v>107</v>
      </c>
      <c r="B2" s="35">
        <f>(E2-F2)/F2</f>
        <v>-0.22209186209372278</v>
      </c>
      <c r="C2" s="64">
        <f>E2-'[1]Spain'!E2</f>
        <v>-2107.585344058987</v>
      </c>
      <c r="D2" s="13">
        <f>F2-'[1]Spain'!F2</f>
        <v>-4025.0393028895487</v>
      </c>
      <c r="E2" s="148">
        <v>15812.901511618677</v>
      </c>
      <c r="F2" s="13">
        <v>20327.466369202353</v>
      </c>
      <c r="G2" s="13">
        <v>20235</v>
      </c>
      <c r="H2" s="13">
        <v>14370</v>
      </c>
      <c r="I2" s="13">
        <v>19140.510504500817</v>
      </c>
      <c r="J2" s="13">
        <v>15687.373504818752</v>
      </c>
      <c r="K2" s="13">
        <v>12216</v>
      </c>
      <c r="L2" s="13">
        <v>14715.400067416827</v>
      </c>
      <c r="M2" s="13">
        <v>6630.078579932668</v>
      </c>
      <c r="N2" s="13">
        <v>11064.23610650075</v>
      </c>
      <c r="O2" s="13">
        <v>11273</v>
      </c>
      <c r="P2" s="13">
        <v>9241</v>
      </c>
      <c r="Q2" s="13">
        <v>11486</v>
      </c>
      <c r="R2" s="13">
        <v>11817</v>
      </c>
      <c r="S2" s="37">
        <v>4618</v>
      </c>
    </row>
    <row r="3" spans="1:19" ht="12.75">
      <c r="A3" s="27" t="s">
        <v>108</v>
      </c>
      <c r="B3" s="35">
        <f aca="true" t="shared" si="0" ref="B3:B8">(E3-F3)/F3</f>
        <v>0.06101508757874425</v>
      </c>
      <c r="C3" s="64">
        <f>E3-'[1]Spain'!E3</f>
        <v>-4819.2113271778335</v>
      </c>
      <c r="D3" s="13">
        <f>F3-'[1]Spain'!F3</f>
        <v>-7559.856656303067</v>
      </c>
      <c r="E3" s="148">
        <v>7752.215801929476</v>
      </c>
      <c r="F3" s="13">
        <v>7306.414293900545</v>
      </c>
      <c r="G3" s="13">
        <v>7245</v>
      </c>
      <c r="H3" s="13">
        <v>5798</v>
      </c>
      <c r="I3" s="13">
        <v>8367.305940324444</v>
      </c>
      <c r="J3" s="13">
        <v>5073.746615599287</v>
      </c>
      <c r="K3" s="13">
        <v>6158</v>
      </c>
      <c r="L3" s="13">
        <v>3421.972847651483</v>
      </c>
      <c r="M3" s="13">
        <v>1550.119022123864</v>
      </c>
      <c r="N3" s="13">
        <v>2888.6870788124197</v>
      </c>
      <c r="O3" s="13">
        <v>3812</v>
      </c>
      <c r="P3" s="13">
        <v>3184</v>
      </c>
      <c r="Q3" s="13">
        <v>5108</v>
      </c>
      <c r="R3" s="13">
        <v>5886</v>
      </c>
      <c r="S3" s="37">
        <v>1900</v>
      </c>
    </row>
    <row r="4" spans="1:19" ht="12.75">
      <c r="A4" s="27" t="s">
        <v>109</v>
      </c>
      <c r="B4" s="35">
        <f t="shared" si="0"/>
        <v>-0.4746083602160944</v>
      </c>
      <c r="C4" s="64">
        <f>E4-'[1]Spain'!E4</f>
        <v>-11052.165722041711</v>
      </c>
      <c r="D4" s="13">
        <f>F4-'[1]Spain'!F4</f>
        <v>-20551.417302781396</v>
      </c>
      <c r="E4" s="148">
        <v>74698.15140717816</v>
      </c>
      <c r="F4" s="13">
        <v>142176.13252830142</v>
      </c>
      <c r="G4" s="13">
        <v>102269</v>
      </c>
      <c r="H4" s="13">
        <v>100099</v>
      </c>
      <c r="I4" s="13">
        <v>124579.16757705814</v>
      </c>
      <c r="J4" s="13">
        <v>94266.34393312769</v>
      </c>
      <c r="K4" s="13">
        <v>117254</v>
      </c>
      <c r="L4" s="13">
        <v>98852.51430147352</v>
      </c>
      <c r="M4" s="13">
        <v>68682.75772845316</v>
      </c>
      <c r="N4" s="13">
        <v>115920.59519996888</v>
      </c>
      <c r="O4" s="13">
        <v>116237</v>
      </c>
      <c r="P4" s="13">
        <v>87665</v>
      </c>
      <c r="Q4" s="13">
        <v>113354.0021436194</v>
      </c>
      <c r="R4" s="13">
        <v>97633</v>
      </c>
      <c r="S4" s="37">
        <v>88500</v>
      </c>
    </row>
    <row r="5" spans="1:19" ht="12.75">
      <c r="A5" s="27" t="s">
        <v>17</v>
      </c>
      <c r="B5" s="35">
        <f t="shared" si="0"/>
        <v>-0.30200308178911645</v>
      </c>
      <c r="C5" s="64">
        <f>E5-'[1]Spain'!E5</f>
        <v>-1365.6645075440101</v>
      </c>
      <c r="D5" s="13">
        <f>F5-'[1]Spain'!F5</f>
        <v>-4073.720731229605</v>
      </c>
      <c r="E5" s="148">
        <v>14128.387499643224</v>
      </c>
      <c r="F5" s="13">
        <v>20241.332205101025</v>
      </c>
      <c r="G5" s="13">
        <v>17220</v>
      </c>
      <c r="H5" s="13">
        <v>16254</v>
      </c>
      <c r="I5" s="13">
        <v>15176.830595783187</v>
      </c>
      <c r="J5" s="13">
        <v>13142.759769735403</v>
      </c>
      <c r="K5" s="13">
        <v>10848</v>
      </c>
      <c r="L5" s="13">
        <v>10313.6074478482</v>
      </c>
      <c r="M5" s="13">
        <v>6260.71369898261</v>
      </c>
      <c r="N5" s="13">
        <v>7958.871674193011</v>
      </c>
      <c r="O5" s="13">
        <v>4520</v>
      </c>
      <c r="P5" s="13">
        <v>9733</v>
      </c>
      <c r="Q5" s="13">
        <v>6039</v>
      </c>
      <c r="R5" s="13">
        <v>4032</v>
      </c>
      <c r="S5" s="37">
        <v>3573</v>
      </c>
    </row>
    <row r="6" spans="1:19" ht="12.75">
      <c r="A6" s="29" t="s">
        <v>19</v>
      </c>
      <c r="B6" s="35">
        <f t="shared" si="0"/>
        <v>-0.35243682946410054</v>
      </c>
      <c r="C6" s="64">
        <f>E6-'[1]Spain'!E6</f>
        <v>-903.7119003041043</v>
      </c>
      <c r="D6" s="13">
        <f>F6-'[1]Spain'!F6</f>
        <v>-1780.8196681067711</v>
      </c>
      <c r="E6" s="148">
        <v>10294.447339752534</v>
      </c>
      <c r="F6" s="13">
        <v>15897.209427820344</v>
      </c>
      <c r="G6" s="13">
        <v>14665</v>
      </c>
      <c r="H6" s="13">
        <v>12825</v>
      </c>
      <c r="I6" s="13">
        <v>11962.167183533493</v>
      </c>
      <c r="J6" s="111">
        <v>13488.135315638525</v>
      </c>
      <c r="K6" s="111">
        <v>10731</v>
      </c>
      <c r="L6" s="111">
        <v>8568.91283606298</v>
      </c>
      <c r="M6" s="111">
        <v>5136.381942629403</v>
      </c>
      <c r="N6" s="111">
        <v>10679.249443322886</v>
      </c>
      <c r="O6" s="111">
        <v>11784</v>
      </c>
      <c r="P6" s="111">
        <v>9721</v>
      </c>
      <c r="Q6" s="111">
        <v>20688.424780673595</v>
      </c>
      <c r="R6" s="13">
        <v>14974</v>
      </c>
      <c r="S6" s="37">
        <v>6000</v>
      </c>
    </row>
    <row r="7" spans="1:19" ht="13.5" thickBot="1">
      <c r="A7" s="30" t="s">
        <v>58</v>
      </c>
      <c r="B7" s="36">
        <f t="shared" si="0"/>
        <v>-0.15135931016878476</v>
      </c>
      <c r="C7" s="65">
        <f>E7-'[1]Spain'!E7</f>
        <v>-1776.8799999999974</v>
      </c>
      <c r="D7" s="15">
        <f>F7-'[1]Spain'!F7</f>
        <v>-2072.6100000000006</v>
      </c>
      <c r="E7" s="162">
        <v>16057.75</v>
      </c>
      <c r="F7" s="15">
        <v>18921.73</v>
      </c>
      <c r="G7" s="15">
        <v>10684</v>
      </c>
      <c r="H7" s="15">
        <v>10720</v>
      </c>
      <c r="I7" s="112">
        <v>9437.25</v>
      </c>
      <c r="J7" s="112">
        <v>8493.24</v>
      </c>
      <c r="K7" s="112">
        <v>8613</v>
      </c>
      <c r="L7" s="112">
        <v>8499.118</v>
      </c>
      <c r="M7" s="112">
        <v>5722.43</v>
      </c>
      <c r="N7" s="112">
        <v>9225.54</v>
      </c>
      <c r="O7" s="112">
        <v>6973</v>
      </c>
      <c r="P7" s="112">
        <v>6258.49</v>
      </c>
      <c r="Q7" s="112">
        <v>7214</v>
      </c>
      <c r="R7" s="15">
        <v>5392</v>
      </c>
      <c r="S7" s="39">
        <v>14707</v>
      </c>
    </row>
    <row r="8" spans="1:19" ht="13.5" thickBot="1">
      <c r="A8" s="45" t="s">
        <v>22</v>
      </c>
      <c r="B8" s="41">
        <f t="shared" si="0"/>
        <v>-0.3830049458579543</v>
      </c>
      <c r="C8" s="66">
        <f>E8-'[1]Spain'!E8</f>
        <v>-22025.21880112664</v>
      </c>
      <c r="D8" s="42">
        <f>F8-'[1]Spain'!F8</f>
        <v>-40063.46366131038</v>
      </c>
      <c r="E8" s="138">
        <f>SUM(E2:E7)</f>
        <v>138743.85356012208</v>
      </c>
      <c r="F8" s="42">
        <f>SUM(F2:F7)</f>
        <v>224870.2848243257</v>
      </c>
      <c r="G8" s="42">
        <f>SUM(G2:G7)</f>
        <v>172318</v>
      </c>
      <c r="H8" s="42">
        <f aca="true" t="shared" si="1" ref="H8:M8">SUM(H2:H7)</f>
        <v>160066</v>
      </c>
      <c r="I8" s="42">
        <f t="shared" si="1"/>
        <v>188663.23180120008</v>
      </c>
      <c r="J8" s="42">
        <f t="shared" si="1"/>
        <v>150151.59913891964</v>
      </c>
      <c r="K8" s="42">
        <f t="shared" si="1"/>
        <v>165820</v>
      </c>
      <c r="L8" s="42">
        <f t="shared" si="1"/>
        <v>144371.525500453</v>
      </c>
      <c r="M8" s="42">
        <f t="shared" si="1"/>
        <v>93982.4809721217</v>
      </c>
      <c r="N8" s="42">
        <f aca="true" t="shared" si="2" ref="N8:S8">SUM(N2:N7)</f>
        <v>157737.17950279795</v>
      </c>
      <c r="O8" s="42">
        <f t="shared" si="2"/>
        <v>154599</v>
      </c>
      <c r="P8" s="42">
        <f t="shared" si="2"/>
        <v>125802.49</v>
      </c>
      <c r="Q8" s="42">
        <f t="shared" si="2"/>
        <v>163889.426924293</v>
      </c>
      <c r="R8" s="42">
        <f t="shared" si="2"/>
        <v>139734</v>
      </c>
      <c r="S8" s="43">
        <f t="shared" si="2"/>
        <v>119298</v>
      </c>
    </row>
    <row r="9" spans="2:17" s="9" customFormat="1" ht="12.75">
      <c r="B9" s="44"/>
      <c r="C9" s="44"/>
      <c r="D9" s="44"/>
      <c r="E9" s="44"/>
      <c r="F9" s="44"/>
      <c r="G9" s="44"/>
      <c r="H9" s="44"/>
      <c r="I9" s="12"/>
      <c r="J9" s="12"/>
      <c r="K9" s="12"/>
      <c r="L9" s="12"/>
      <c r="M9" s="12"/>
      <c r="N9" s="12"/>
      <c r="O9" s="12"/>
      <c r="P9" s="12"/>
      <c r="Q9" s="12"/>
    </row>
    <row r="10" spans="2:17" s="9" customFormat="1" ht="13.5" thickBot="1">
      <c r="B10" s="44"/>
      <c r="C10" s="44"/>
      <c r="D10" s="44"/>
      <c r="E10" s="44"/>
      <c r="F10" s="44"/>
      <c r="G10" s="44"/>
      <c r="H10" s="44"/>
      <c r="I10" s="12"/>
      <c r="J10" s="12"/>
      <c r="K10" s="12"/>
      <c r="L10" s="12"/>
      <c r="M10" s="12"/>
      <c r="N10" s="12"/>
      <c r="O10" s="12"/>
      <c r="P10" s="12"/>
      <c r="Q10" s="12"/>
    </row>
    <row r="11" spans="1:19" s="16" customFormat="1" ht="13.5" thickBot="1">
      <c r="A11" s="31" t="s">
        <v>24</v>
      </c>
      <c r="B11" s="32" t="s">
        <v>172</v>
      </c>
      <c r="C11" s="63" t="s">
        <v>173</v>
      </c>
      <c r="D11" s="110" t="s">
        <v>166</v>
      </c>
      <c r="E11" s="161">
        <v>44228</v>
      </c>
      <c r="F11" s="113">
        <v>43862</v>
      </c>
      <c r="G11" s="113">
        <v>43497</v>
      </c>
      <c r="H11" s="113">
        <v>43132</v>
      </c>
      <c r="I11" s="33">
        <v>42767</v>
      </c>
      <c r="J11" s="33">
        <v>42401</v>
      </c>
      <c r="K11" s="33">
        <v>42036</v>
      </c>
      <c r="L11" s="33">
        <v>41671</v>
      </c>
      <c r="M11" s="33">
        <v>41306</v>
      </c>
      <c r="N11" s="33">
        <v>40940</v>
      </c>
      <c r="O11" s="33">
        <v>40575</v>
      </c>
      <c r="P11" s="33">
        <v>40210</v>
      </c>
      <c r="Q11" s="33">
        <v>39845</v>
      </c>
      <c r="R11" s="33">
        <v>39479</v>
      </c>
      <c r="S11" s="34">
        <v>39114</v>
      </c>
    </row>
    <row r="12" spans="1:19" ht="12.75">
      <c r="A12" s="27" t="s">
        <v>37</v>
      </c>
      <c r="B12" s="35">
        <f aca="true" t="shared" si="3" ref="B12:B17">(E12-F12)/F12</f>
        <v>-0.09577957051687215</v>
      </c>
      <c r="C12" s="64">
        <f>E12-'[1]Spain'!E12</f>
        <v>-643.1002193557547</v>
      </c>
      <c r="D12" s="13">
        <f>F12-'[1]Spain'!F12</f>
        <v>-1335.1601608695378</v>
      </c>
      <c r="E12" s="148">
        <v>2710.024349114055</v>
      </c>
      <c r="F12" s="13">
        <v>2997.0837428028076</v>
      </c>
      <c r="G12" s="13">
        <v>2374</v>
      </c>
      <c r="H12" s="13">
        <v>3102</v>
      </c>
      <c r="I12" s="13">
        <v>3111.932715102492</v>
      </c>
      <c r="J12" s="13">
        <v>1770.9265524239313</v>
      </c>
      <c r="K12" s="13">
        <v>2541</v>
      </c>
      <c r="L12" s="13">
        <v>5760.679144443647</v>
      </c>
      <c r="M12" s="13">
        <v>1924.3024921565961</v>
      </c>
      <c r="N12" s="13">
        <v>6723</v>
      </c>
      <c r="O12" s="13">
        <v>5242</v>
      </c>
      <c r="P12" s="13">
        <v>4593</v>
      </c>
      <c r="Q12" s="13">
        <v>2698</v>
      </c>
      <c r="R12" s="13">
        <v>4454</v>
      </c>
      <c r="S12" s="37">
        <v>7383</v>
      </c>
    </row>
    <row r="13" spans="1:19" ht="12.75">
      <c r="A13" s="27" t="s">
        <v>38</v>
      </c>
      <c r="B13" s="35">
        <f t="shared" si="3"/>
        <v>0.23937121153607874</v>
      </c>
      <c r="C13" s="64">
        <f>E13-'[1]Spain'!E13</f>
        <v>-1540.4031159457509</v>
      </c>
      <c r="D13" s="13">
        <f>F13-'[1]Spain'!F13</f>
        <v>-1527.9942756151372</v>
      </c>
      <c r="E13" s="148">
        <v>4970.688846851756</v>
      </c>
      <c r="F13" s="13">
        <v>4010.653790070754</v>
      </c>
      <c r="G13" s="13">
        <v>5350</v>
      </c>
      <c r="H13" s="13">
        <v>7261</v>
      </c>
      <c r="I13" s="13">
        <v>7558.125957640795</v>
      </c>
      <c r="J13" s="13">
        <v>5909.934671607798</v>
      </c>
      <c r="K13" s="13">
        <v>10281</v>
      </c>
      <c r="L13" s="13">
        <v>9160.931524746362</v>
      </c>
      <c r="M13" s="13">
        <v>6549.205352756845</v>
      </c>
      <c r="N13" s="13">
        <v>11992</v>
      </c>
      <c r="O13" s="13">
        <v>18326</v>
      </c>
      <c r="P13" s="13">
        <v>15384</v>
      </c>
      <c r="Q13" s="13">
        <v>10153</v>
      </c>
      <c r="R13" s="13">
        <v>25911</v>
      </c>
      <c r="S13" s="37">
        <v>19620</v>
      </c>
    </row>
    <row r="14" spans="1:19" ht="12.75">
      <c r="A14" s="27" t="s">
        <v>7</v>
      </c>
      <c r="B14" s="35">
        <f t="shared" si="3"/>
        <v>-0.05216701382495223</v>
      </c>
      <c r="C14" s="64">
        <f>E14-'[1]Spain'!E14</f>
        <v>-6010.840291219916</v>
      </c>
      <c r="D14" s="13">
        <f>F14-'[1]Spain'!F14</f>
        <v>-10849.463598579729</v>
      </c>
      <c r="E14" s="148">
        <v>41066.33996900604</v>
      </c>
      <c r="F14" s="13">
        <v>43326.557070700874</v>
      </c>
      <c r="G14" s="13">
        <v>43076</v>
      </c>
      <c r="H14" s="13">
        <v>46637</v>
      </c>
      <c r="I14" s="13">
        <v>37517.855039232556</v>
      </c>
      <c r="J14" s="13">
        <v>40944.9243392779</v>
      </c>
      <c r="K14" s="13">
        <v>48046</v>
      </c>
      <c r="L14" s="13">
        <v>58250.01517625989</v>
      </c>
      <c r="M14" s="13">
        <v>33556.93200798075</v>
      </c>
      <c r="N14" s="13">
        <v>70958</v>
      </c>
      <c r="O14" s="13">
        <v>65750</v>
      </c>
      <c r="P14" s="13">
        <v>42352</v>
      </c>
      <c r="Q14" s="13">
        <v>55913</v>
      </c>
      <c r="R14" s="13">
        <v>35720</v>
      </c>
      <c r="S14" s="37">
        <v>46450</v>
      </c>
    </row>
    <row r="15" spans="1:19" ht="12.75">
      <c r="A15" s="27" t="s">
        <v>110</v>
      </c>
      <c r="B15" s="35">
        <f t="shared" si="3"/>
        <v>-1</v>
      </c>
      <c r="C15" s="64">
        <f>E15-'[1]Spain'!E15</f>
        <v>-22.77</v>
      </c>
      <c r="D15" s="13">
        <f>F15-'[1]Spain'!F15</f>
        <v>-32.66</v>
      </c>
      <c r="E15" s="148"/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19.72</v>
      </c>
      <c r="L15" s="13">
        <v>283.68</v>
      </c>
      <c r="M15" s="13">
        <v>0</v>
      </c>
      <c r="N15" s="13">
        <v>0</v>
      </c>
      <c r="O15" s="13">
        <v>17</v>
      </c>
      <c r="P15" s="13">
        <v>0</v>
      </c>
      <c r="Q15" s="13">
        <v>0</v>
      </c>
      <c r="R15" s="13">
        <v>21</v>
      </c>
      <c r="S15" s="37">
        <v>0</v>
      </c>
    </row>
    <row r="16" spans="1:19" ht="13.5" thickBot="1">
      <c r="A16" s="38" t="s">
        <v>58</v>
      </c>
      <c r="B16" s="36">
        <f t="shared" si="3"/>
        <v>-0.2478111029206932</v>
      </c>
      <c r="C16" s="65">
        <f>E16-'[1]Spain'!E16</f>
        <v>-1089.9136232764654</v>
      </c>
      <c r="D16" s="15">
        <f>F16-'[1]Spain'!F16</f>
        <v>-1242.9763144886701</v>
      </c>
      <c r="E16" s="162">
        <v>1865.1645216328097</v>
      </c>
      <c r="F16" s="15">
        <v>2479.6490999469734</v>
      </c>
      <c r="G16" s="15">
        <v>2435</v>
      </c>
      <c r="H16" s="15">
        <v>2778</v>
      </c>
      <c r="I16" s="15">
        <v>2678.353358472534</v>
      </c>
      <c r="J16" s="15">
        <v>2465.8249724069346</v>
      </c>
      <c r="K16" s="15">
        <v>1766</v>
      </c>
      <c r="L16" s="15">
        <v>4195.733642974959</v>
      </c>
      <c r="M16" s="15">
        <v>1588.5052527979622</v>
      </c>
      <c r="N16" s="15">
        <v>6600</v>
      </c>
      <c r="O16" s="15">
        <v>4179</v>
      </c>
      <c r="P16" s="15">
        <v>3285</v>
      </c>
      <c r="Q16" s="15">
        <v>3756</v>
      </c>
      <c r="R16" s="15">
        <v>5276</v>
      </c>
      <c r="S16" s="39">
        <v>5766</v>
      </c>
    </row>
    <row r="17" spans="1:19" ht="13.5" thickBot="1">
      <c r="A17" s="40" t="s">
        <v>22</v>
      </c>
      <c r="B17" s="41">
        <f t="shared" si="3"/>
        <v>-0.041706491808110945</v>
      </c>
      <c r="C17" s="66">
        <f>E17-'[1]Spain'!E17</f>
        <v>-9307.027249797888</v>
      </c>
      <c r="D17" s="42">
        <f>F17-'[1]Spain'!F17</f>
        <v>-14988.254349553077</v>
      </c>
      <c r="E17" s="138">
        <f>SUM(E12:E16)</f>
        <v>50612.21768660466</v>
      </c>
      <c r="F17" s="42">
        <f>SUM(F12:F16)</f>
        <v>52814.943703521414</v>
      </c>
      <c r="G17" s="42">
        <f>SUM(G12:G16)</f>
        <v>53235</v>
      </c>
      <c r="H17" s="42">
        <f aca="true" t="shared" si="4" ref="H17:M17">SUM(H12:H16)</f>
        <v>59778</v>
      </c>
      <c r="I17" s="42">
        <f t="shared" si="4"/>
        <v>50866.267070448375</v>
      </c>
      <c r="J17" s="42">
        <f t="shared" si="4"/>
        <v>51091.610535716565</v>
      </c>
      <c r="K17" s="42">
        <f t="shared" si="4"/>
        <v>62653.72</v>
      </c>
      <c r="L17" s="42">
        <f t="shared" si="4"/>
        <v>77651.03948842485</v>
      </c>
      <c r="M17" s="42">
        <f t="shared" si="4"/>
        <v>43618.94510569216</v>
      </c>
      <c r="N17" s="42">
        <f aca="true" t="shared" si="5" ref="N17:S17">SUM(N12:N16)</f>
        <v>96273</v>
      </c>
      <c r="O17" s="42">
        <f t="shared" si="5"/>
        <v>93514</v>
      </c>
      <c r="P17" s="42">
        <f t="shared" si="5"/>
        <v>65614</v>
      </c>
      <c r="Q17" s="42">
        <f t="shared" si="5"/>
        <v>72520</v>
      </c>
      <c r="R17" s="42">
        <f t="shared" si="5"/>
        <v>71382</v>
      </c>
      <c r="S17" s="43">
        <f t="shared" si="5"/>
        <v>79219</v>
      </c>
    </row>
    <row r="24" spans="18:20" ht="18">
      <c r="R24" s="5"/>
      <c r="S24" s="1"/>
      <c r="T24" s="1"/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6"/>
      <c r="S34" s="1"/>
      <c r="T34" s="1"/>
    </row>
    <row r="35" spans="18:20" ht="18">
      <c r="R35" s="7"/>
      <c r="S35" s="2"/>
      <c r="T35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8" width="12.00390625" style="9" customWidth="1"/>
    <col min="9" max="9" width="10.140625" style="0" bestFit="1" customWidth="1"/>
    <col min="10" max="17" width="10.140625" style="16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27" t="s">
        <v>4</v>
      </c>
      <c r="B2" s="35">
        <f>(E2-F2)/F2</f>
        <v>3.7058823529411766</v>
      </c>
      <c r="C2" s="64">
        <f>E2-'[1]Switzerland'!E2</f>
        <v>-371</v>
      </c>
      <c r="D2" s="13">
        <f>F2-'[1]Switzerland'!F2</f>
        <v>-18</v>
      </c>
      <c r="E2" s="148">
        <v>80</v>
      </c>
      <c r="F2" s="8">
        <v>17</v>
      </c>
      <c r="G2" s="13">
        <f>183+43</f>
        <v>226</v>
      </c>
      <c r="H2" s="13">
        <v>3</v>
      </c>
      <c r="I2" s="13">
        <v>118</v>
      </c>
      <c r="J2" s="13">
        <v>5</v>
      </c>
      <c r="K2" s="13">
        <v>27</v>
      </c>
      <c r="L2" s="13">
        <v>11</v>
      </c>
      <c r="M2" s="13">
        <v>60</v>
      </c>
      <c r="N2" s="13">
        <v>69</v>
      </c>
      <c r="O2" s="13">
        <v>25</v>
      </c>
      <c r="P2" s="13">
        <v>24</v>
      </c>
      <c r="Q2" s="13">
        <v>561</v>
      </c>
      <c r="R2" s="13">
        <v>543</v>
      </c>
      <c r="S2" s="37">
        <v>294</v>
      </c>
    </row>
    <row r="3" spans="1:19" ht="12.75">
      <c r="A3" s="27" t="s">
        <v>11</v>
      </c>
      <c r="B3" s="35">
        <f aca="true" t="shared" si="0" ref="B3:B19">(E3-F3)/F3</f>
        <v>0.11455655526992288</v>
      </c>
      <c r="C3" s="64">
        <f>E3-'[1]Switzerland'!E3</f>
        <v>-1250</v>
      </c>
      <c r="D3" s="13">
        <f>F3-'[1]Switzerland'!F3</f>
        <v>-1312</v>
      </c>
      <c r="E3" s="148">
        <v>6937</v>
      </c>
      <c r="F3" s="8">
        <v>6224</v>
      </c>
      <c r="G3" s="13">
        <f>8197+253</f>
        <v>8450</v>
      </c>
      <c r="H3" s="13">
        <f>3349+91</f>
        <v>3440</v>
      </c>
      <c r="I3" s="13">
        <v>6913</v>
      </c>
      <c r="J3" s="13">
        <v>7271</v>
      </c>
      <c r="K3" s="13">
        <v>6749</v>
      </c>
      <c r="L3" s="13">
        <v>7660</v>
      </c>
      <c r="M3" s="13">
        <v>7007</v>
      </c>
      <c r="N3" s="13">
        <v>7068</v>
      </c>
      <c r="O3" s="13">
        <v>6553</v>
      </c>
      <c r="P3" s="13">
        <v>6590</v>
      </c>
      <c r="Q3" s="13">
        <v>5171</v>
      </c>
      <c r="R3" s="13">
        <v>4405</v>
      </c>
      <c r="S3" s="37">
        <v>3655</v>
      </c>
    </row>
    <row r="4" spans="1:19" ht="12.75">
      <c r="A4" s="27" t="s">
        <v>5</v>
      </c>
      <c r="B4" s="35">
        <f t="shared" si="0"/>
        <v>-1</v>
      </c>
      <c r="C4" s="64">
        <f>E4-'[1]Switzerland'!E4</f>
        <v>0</v>
      </c>
      <c r="D4" s="13">
        <f>F4-'[1]Switzerland'!F4</f>
        <v>-9</v>
      </c>
      <c r="E4" s="148">
        <v>0</v>
      </c>
      <c r="F4" s="8">
        <v>4</v>
      </c>
      <c r="G4" s="13">
        <v>41</v>
      </c>
      <c r="H4" s="13">
        <v>0</v>
      </c>
      <c r="I4" s="13">
        <v>0</v>
      </c>
      <c r="J4" s="13">
        <v>0</v>
      </c>
      <c r="K4" s="13">
        <v>0</v>
      </c>
      <c r="L4" s="13">
        <v>1</v>
      </c>
      <c r="M4" s="13">
        <v>0</v>
      </c>
      <c r="N4" s="13">
        <v>50</v>
      </c>
      <c r="O4" s="13">
        <v>0</v>
      </c>
      <c r="P4" s="13">
        <v>0</v>
      </c>
      <c r="Q4" s="13">
        <v>15</v>
      </c>
      <c r="R4" s="13">
        <v>0</v>
      </c>
      <c r="S4" s="37">
        <v>1</v>
      </c>
    </row>
    <row r="5" spans="1:19" ht="12.75">
      <c r="A5" s="27" t="s">
        <v>2</v>
      </c>
      <c r="B5" s="35"/>
      <c r="C5" s="64">
        <f>E5-'[1]Switzerland'!E5</f>
        <v>-4</v>
      </c>
      <c r="D5" s="13">
        <f>F5-'[1]Switzerland'!F5</f>
        <v>-8</v>
      </c>
      <c r="E5" s="148">
        <v>0</v>
      </c>
      <c r="F5" s="8">
        <v>0</v>
      </c>
      <c r="G5" s="13">
        <f>18+19</f>
        <v>37</v>
      </c>
      <c r="H5" s="13">
        <v>0</v>
      </c>
      <c r="I5" s="13">
        <v>1</v>
      </c>
      <c r="J5" s="13">
        <v>0</v>
      </c>
      <c r="K5" s="13">
        <v>3</v>
      </c>
      <c r="L5" s="13">
        <v>1</v>
      </c>
      <c r="M5" s="13">
        <v>1</v>
      </c>
      <c r="N5" s="13">
        <v>69</v>
      </c>
      <c r="O5" s="13">
        <v>0</v>
      </c>
      <c r="P5" s="13">
        <v>9</v>
      </c>
      <c r="Q5" s="13">
        <v>0</v>
      </c>
      <c r="R5" s="13">
        <v>55</v>
      </c>
      <c r="S5" s="37">
        <v>15</v>
      </c>
    </row>
    <row r="6" spans="1:19" ht="12.75">
      <c r="A6" s="27" t="s">
        <v>9</v>
      </c>
      <c r="B6" s="35">
        <f t="shared" si="0"/>
        <v>0.06426766157178962</v>
      </c>
      <c r="C6" s="64">
        <f>E6-'[1]Switzerland'!E6</f>
        <v>-2829</v>
      </c>
      <c r="D6" s="13">
        <f>F6-'[1]Switzerland'!F6</f>
        <v>-2725</v>
      </c>
      <c r="E6" s="148">
        <v>17686</v>
      </c>
      <c r="F6" s="8">
        <v>16618</v>
      </c>
      <c r="G6" s="13">
        <f>16080+974</f>
        <v>17054</v>
      </c>
      <c r="H6" s="13">
        <f>8804+195</f>
        <v>8999</v>
      </c>
      <c r="I6" s="13">
        <v>12188</v>
      </c>
      <c r="J6" s="13">
        <v>14808</v>
      </c>
      <c r="K6" s="13">
        <v>13121</v>
      </c>
      <c r="L6" s="13">
        <v>14184.2</v>
      </c>
      <c r="M6" s="13">
        <v>12480</v>
      </c>
      <c r="N6" s="13">
        <v>16545</v>
      </c>
      <c r="O6" s="13">
        <v>12968</v>
      </c>
      <c r="P6" s="13">
        <v>14613</v>
      </c>
      <c r="Q6" s="13">
        <v>10004</v>
      </c>
      <c r="R6" s="13">
        <v>12537</v>
      </c>
      <c r="S6" s="37">
        <v>9208</v>
      </c>
    </row>
    <row r="7" spans="1:19" ht="12.75">
      <c r="A7" s="27" t="s">
        <v>111</v>
      </c>
      <c r="B7" s="35">
        <f t="shared" si="0"/>
        <v>0.1875</v>
      </c>
      <c r="C7" s="64">
        <f>E7-'[1]Switzerland'!E7</f>
        <v>0</v>
      </c>
      <c r="D7" s="13">
        <f>F7-'[1]Switzerland'!F7</f>
        <v>-20</v>
      </c>
      <c r="E7" s="148">
        <v>57</v>
      </c>
      <c r="F7" s="8">
        <v>48</v>
      </c>
      <c r="G7" s="13">
        <f>79+40</f>
        <v>119</v>
      </c>
      <c r="H7" s="13">
        <v>40</v>
      </c>
      <c r="I7" s="13">
        <v>100</v>
      </c>
      <c r="J7" s="13">
        <v>151</v>
      </c>
      <c r="K7" s="13">
        <v>69</v>
      </c>
      <c r="L7" s="13">
        <v>170</v>
      </c>
      <c r="M7" s="13">
        <v>177</v>
      </c>
      <c r="N7" s="13">
        <v>150</v>
      </c>
      <c r="O7" s="13">
        <v>513</v>
      </c>
      <c r="P7" s="13">
        <v>291</v>
      </c>
      <c r="Q7" s="13">
        <v>617</v>
      </c>
      <c r="R7" s="13">
        <v>472</v>
      </c>
      <c r="S7" s="37">
        <v>628</v>
      </c>
    </row>
    <row r="8" spans="1:19" ht="12.75">
      <c r="A8" s="29" t="s">
        <v>3</v>
      </c>
      <c r="B8" s="35">
        <f t="shared" si="0"/>
        <v>-0.12979119694147634</v>
      </c>
      <c r="C8" s="64">
        <f>E8-'[1]Switzerland'!E8</f>
        <v>-1019</v>
      </c>
      <c r="D8" s="13">
        <f>F8-'[1]Switzerland'!F8</f>
        <v>-1180</v>
      </c>
      <c r="E8" s="148">
        <v>8877</v>
      </c>
      <c r="F8" s="8">
        <v>10201</v>
      </c>
      <c r="G8" s="13">
        <f>8914+121</f>
        <v>9035</v>
      </c>
      <c r="H8" s="13">
        <v>8499</v>
      </c>
      <c r="I8" s="111">
        <v>12813</v>
      </c>
      <c r="J8" s="111">
        <v>10581</v>
      </c>
      <c r="K8" s="111">
        <v>11719</v>
      </c>
      <c r="L8" s="111">
        <v>10227.2</v>
      </c>
      <c r="M8" s="111">
        <v>13153</v>
      </c>
      <c r="N8" s="111">
        <v>13116</v>
      </c>
      <c r="O8" s="111">
        <v>15213</v>
      </c>
      <c r="P8" s="111">
        <v>16068</v>
      </c>
      <c r="Q8" s="111">
        <v>16504</v>
      </c>
      <c r="R8" s="13">
        <v>16924</v>
      </c>
      <c r="S8" s="37">
        <v>17833</v>
      </c>
    </row>
    <row r="9" spans="1:19" ht="12.75">
      <c r="A9" s="29" t="s">
        <v>17</v>
      </c>
      <c r="B9" s="35">
        <f t="shared" si="0"/>
        <v>-0.1288888888888889</v>
      </c>
      <c r="C9" s="64">
        <f>E9-'[1]Switzerland'!E9</f>
        <v>-91</v>
      </c>
      <c r="D9" s="13">
        <f>F9-'[1]Switzerland'!F9</f>
        <v>-103</v>
      </c>
      <c r="E9" s="148">
        <v>196</v>
      </c>
      <c r="F9" s="8">
        <v>225</v>
      </c>
      <c r="G9" s="13">
        <v>216</v>
      </c>
      <c r="H9" s="13">
        <v>176</v>
      </c>
      <c r="I9" s="111">
        <v>262</v>
      </c>
      <c r="J9" s="111">
        <v>154</v>
      </c>
      <c r="K9" s="111">
        <v>220</v>
      </c>
      <c r="L9" s="111">
        <v>174</v>
      </c>
      <c r="M9" s="111">
        <v>169</v>
      </c>
      <c r="N9" s="111">
        <v>100</v>
      </c>
      <c r="O9" s="111">
        <v>249</v>
      </c>
      <c r="P9" s="111">
        <v>88</v>
      </c>
      <c r="Q9" s="111">
        <v>292</v>
      </c>
      <c r="R9" s="13">
        <v>14</v>
      </c>
      <c r="S9" s="37">
        <v>110</v>
      </c>
    </row>
    <row r="10" spans="1:19" ht="12.75">
      <c r="A10" s="29" t="s">
        <v>10</v>
      </c>
      <c r="B10" s="35">
        <f t="shared" si="0"/>
        <v>0.873015873015873</v>
      </c>
      <c r="C10" s="64">
        <f>E10-'[1]Switzerland'!E10</f>
        <v>-43</v>
      </c>
      <c r="D10" s="13">
        <f>F10-'[1]Switzerland'!F10</f>
        <v>-33</v>
      </c>
      <c r="E10" s="148">
        <v>472</v>
      </c>
      <c r="F10" s="8">
        <v>252</v>
      </c>
      <c r="G10" s="13">
        <f>282+109</f>
        <v>391</v>
      </c>
      <c r="H10" s="13">
        <v>85</v>
      </c>
      <c r="I10" s="111">
        <v>467</v>
      </c>
      <c r="J10" s="111">
        <v>988</v>
      </c>
      <c r="K10" s="111">
        <v>1050</v>
      </c>
      <c r="L10" s="111">
        <v>1499</v>
      </c>
      <c r="M10" s="111">
        <v>1497</v>
      </c>
      <c r="N10" s="111">
        <v>935</v>
      </c>
      <c r="O10" s="111">
        <v>2640</v>
      </c>
      <c r="P10" s="111">
        <v>2142</v>
      </c>
      <c r="Q10" s="111">
        <v>3037</v>
      </c>
      <c r="R10" s="13">
        <v>1765</v>
      </c>
      <c r="S10" s="37">
        <v>3131</v>
      </c>
    </row>
    <row r="11" spans="1:19" ht="12.75">
      <c r="A11" s="29" t="s">
        <v>26</v>
      </c>
      <c r="B11" s="35">
        <f t="shared" si="0"/>
        <v>-0.41631701631701634</v>
      </c>
      <c r="C11" s="64">
        <f>E11-'[1]Switzerland'!E11</f>
        <v>-87</v>
      </c>
      <c r="D11" s="13">
        <f>F11-'[1]Switzerland'!F11</f>
        <v>-293</v>
      </c>
      <c r="E11" s="148">
        <v>1252</v>
      </c>
      <c r="F11" s="8">
        <v>2145</v>
      </c>
      <c r="G11" s="13">
        <f>1730+112</f>
        <v>1842</v>
      </c>
      <c r="H11" s="13">
        <v>93</v>
      </c>
      <c r="I11" s="111">
        <v>2853</v>
      </c>
      <c r="J11" s="111">
        <v>2153</v>
      </c>
      <c r="K11" s="111">
        <v>2595</v>
      </c>
      <c r="L11" s="111">
        <v>2706</v>
      </c>
      <c r="M11" s="111">
        <v>2663</v>
      </c>
      <c r="N11" s="111">
        <v>3134</v>
      </c>
      <c r="O11" s="111">
        <v>2386</v>
      </c>
      <c r="P11" s="111">
        <v>3182</v>
      </c>
      <c r="Q11" s="111">
        <v>3303</v>
      </c>
      <c r="R11" s="13">
        <v>3556</v>
      </c>
      <c r="S11" s="37">
        <v>3527</v>
      </c>
    </row>
    <row r="12" spans="1:19" ht="12.75">
      <c r="A12" s="29" t="s">
        <v>112</v>
      </c>
      <c r="B12" s="35"/>
      <c r="C12" s="64">
        <f>E12-'[1]Switzerland'!E12</f>
        <v>-68</v>
      </c>
      <c r="D12" s="13">
        <f>F12-'[1]Switzerland'!F12</f>
        <v>-17</v>
      </c>
      <c r="E12" s="148">
        <v>146</v>
      </c>
      <c r="F12" s="8">
        <v>0</v>
      </c>
      <c r="G12" s="13">
        <v>237</v>
      </c>
      <c r="H12" s="13">
        <v>0</v>
      </c>
      <c r="I12" s="111">
        <v>142</v>
      </c>
      <c r="J12" s="111">
        <v>95</v>
      </c>
      <c r="K12" s="111">
        <v>174</v>
      </c>
      <c r="L12" s="111">
        <v>219</v>
      </c>
      <c r="M12" s="111">
        <v>93</v>
      </c>
      <c r="N12" s="111">
        <v>118</v>
      </c>
      <c r="O12" s="111">
        <v>138</v>
      </c>
      <c r="P12" s="111">
        <v>29</v>
      </c>
      <c r="Q12" s="111">
        <v>123</v>
      </c>
      <c r="R12" s="13">
        <v>82</v>
      </c>
      <c r="S12" s="37">
        <v>157</v>
      </c>
    </row>
    <row r="13" spans="1:19" ht="12.75">
      <c r="A13" s="29" t="s">
        <v>113</v>
      </c>
      <c r="B13" s="35">
        <f t="shared" si="0"/>
        <v>2.6744186046511627</v>
      </c>
      <c r="C13" s="64">
        <f>E13-'[1]Switzerland'!E13</f>
        <v>-38</v>
      </c>
      <c r="D13" s="13">
        <f>F13-'[1]Switzerland'!F13</f>
        <v>-13</v>
      </c>
      <c r="E13" s="148">
        <v>158</v>
      </c>
      <c r="F13" s="8">
        <v>43</v>
      </c>
      <c r="G13" s="13">
        <f>58+295</f>
        <v>353</v>
      </c>
      <c r="H13" s="13">
        <v>116</v>
      </c>
      <c r="I13" s="111">
        <v>223</v>
      </c>
      <c r="J13" s="111">
        <v>515</v>
      </c>
      <c r="K13" s="111">
        <v>727</v>
      </c>
      <c r="L13" s="111">
        <v>755</v>
      </c>
      <c r="M13" s="111">
        <v>1522</v>
      </c>
      <c r="N13" s="111">
        <v>1869</v>
      </c>
      <c r="O13" s="111">
        <v>3523</v>
      </c>
      <c r="P13" s="111">
        <v>3908</v>
      </c>
      <c r="Q13" s="111">
        <v>4172</v>
      </c>
      <c r="R13" s="13">
        <v>5245</v>
      </c>
      <c r="S13" s="37">
        <v>7014</v>
      </c>
    </row>
    <row r="14" spans="1:19" ht="12.75">
      <c r="A14" s="29" t="s">
        <v>13</v>
      </c>
      <c r="B14" s="35">
        <f t="shared" si="0"/>
        <v>4.1022727272727275</v>
      </c>
      <c r="C14" s="64">
        <f>E14-'[1]Switzerland'!E14</f>
        <v>-21</v>
      </c>
      <c r="D14" s="13">
        <f>F14-'[1]Switzerland'!F14</f>
        <v>-171</v>
      </c>
      <c r="E14" s="148">
        <v>449</v>
      </c>
      <c r="F14" s="8">
        <v>88</v>
      </c>
      <c r="G14" s="13">
        <f>184+66</f>
        <v>250</v>
      </c>
      <c r="H14" s="13">
        <v>39</v>
      </c>
      <c r="I14" s="111">
        <v>230</v>
      </c>
      <c r="J14" s="111">
        <v>309</v>
      </c>
      <c r="K14" s="111">
        <v>166</v>
      </c>
      <c r="L14" s="111">
        <v>572.2</v>
      </c>
      <c r="M14" s="111">
        <v>753</v>
      </c>
      <c r="N14" s="111">
        <v>858</v>
      </c>
      <c r="O14" s="111">
        <v>821</v>
      </c>
      <c r="P14" s="111">
        <v>891</v>
      </c>
      <c r="Q14" s="111">
        <v>832</v>
      </c>
      <c r="R14" s="13">
        <v>736</v>
      </c>
      <c r="S14" s="37">
        <v>673</v>
      </c>
    </row>
    <row r="15" spans="1:19" ht="12.75">
      <c r="A15" s="29" t="s">
        <v>114</v>
      </c>
      <c r="B15" s="35"/>
      <c r="C15" s="64">
        <f>E15-'[1]Switzerland'!E15</f>
        <v>-7</v>
      </c>
      <c r="D15" s="13">
        <f>F15-'[1]Switzerland'!F15</f>
        <v>-9</v>
      </c>
      <c r="E15" s="148">
        <v>49</v>
      </c>
      <c r="F15" s="8">
        <v>0</v>
      </c>
      <c r="G15" s="13">
        <v>28</v>
      </c>
      <c r="H15" s="13">
        <v>0</v>
      </c>
      <c r="I15" s="111">
        <v>0</v>
      </c>
      <c r="J15" s="111">
        <v>1</v>
      </c>
      <c r="K15" s="111">
        <v>9</v>
      </c>
      <c r="L15" s="111">
        <v>8</v>
      </c>
      <c r="M15" s="111">
        <v>3</v>
      </c>
      <c r="N15" s="111">
        <v>14</v>
      </c>
      <c r="O15" s="111">
        <v>1</v>
      </c>
      <c r="P15" s="111">
        <v>2</v>
      </c>
      <c r="Q15" s="111">
        <v>5</v>
      </c>
      <c r="R15" s="13">
        <v>3</v>
      </c>
      <c r="S15" s="37">
        <v>20</v>
      </c>
    </row>
    <row r="16" spans="1:19" ht="12.75">
      <c r="A16" s="29" t="s">
        <v>95</v>
      </c>
      <c r="B16" s="35">
        <f t="shared" si="0"/>
        <v>3.6666666666666665</v>
      </c>
      <c r="C16" s="64">
        <f>E16-'[1]Switzerland'!E16</f>
        <v>-223</v>
      </c>
      <c r="D16" s="13">
        <f>F16-'[1]Switzerland'!F16</f>
        <v>-274</v>
      </c>
      <c r="E16" s="148">
        <v>238</v>
      </c>
      <c r="F16" s="8">
        <v>51</v>
      </c>
      <c r="G16" s="13">
        <f>229+489</f>
        <v>718</v>
      </c>
      <c r="H16" s="13">
        <v>66</v>
      </c>
      <c r="I16" s="111">
        <v>407</v>
      </c>
      <c r="J16" s="111">
        <v>752</v>
      </c>
      <c r="K16" s="111">
        <v>816</v>
      </c>
      <c r="L16" s="111">
        <v>1084.40000001</v>
      </c>
      <c r="M16" s="111">
        <v>1098</v>
      </c>
      <c r="N16" s="111">
        <v>1411</v>
      </c>
      <c r="O16" s="111">
        <v>1054</v>
      </c>
      <c r="P16" s="111">
        <v>1158</v>
      </c>
      <c r="Q16" s="111">
        <v>724</v>
      </c>
      <c r="R16" s="13">
        <v>1098</v>
      </c>
      <c r="S16" s="37">
        <v>894</v>
      </c>
    </row>
    <row r="17" spans="1:19" ht="12.75">
      <c r="A17" s="54" t="s">
        <v>85</v>
      </c>
      <c r="B17" s="35">
        <f t="shared" si="0"/>
        <v>0.09463179628355127</v>
      </c>
      <c r="C17" s="64">
        <f>E17-'[1]Switzerland'!E17</f>
        <v>-1896</v>
      </c>
      <c r="D17" s="13">
        <f>F17-'[1]Switzerland'!F17</f>
        <v>-2048</v>
      </c>
      <c r="E17" s="148">
        <v>9543</v>
      </c>
      <c r="F17" s="8">
        <v>8718</v>
      </c>
      <c r="G17" s="13">
        <f>11479+204</f>
        <v>11683</v>
      </c>
      <c r="H17" s="13">
        <v>6090</v>
      </c>
      <c r="I17" s="111">
        <v>9185</v>
      </c>
      <c r="J17" s="111">
        <v>7046</v>
      </c>
      <c r="K17" s="111">
        <v>7783</v>
      </c>
      <c r="L17" s="111">
        <v>9065</v>
      </c>
      <c r="M17" s="111">
        <v>6110</v>
      </c>
      <c r="N17" s="111">
        <v>7231</v>
      </c>
      <c r="O17" s="111">
        <v>3692</v>
      </c>
      <c r="P17" s="111">
        <f>328+400+2870</f>
        <v>3598</v>
      </c>
      <c r="Q17" s="111">
        <v>1407</v>
      </c>
      <c r="R17" s="13">
        <v>1063</v>
      </c>
      <c r="S17" s="37">
        <v>419</v>
      </c>
    </row>
    <row r="18" spans="1:19" ht="13.5" thickBot="1">
      <c r="A18" s="30" t="s">
        <v>58</v>
      </c>
      <c r="B18" s="36">
        <f t="shared" si="0"/>
        <v>0.5116500237755587</v>
      </c>
      <c r="C18" s="65">
        <f>E18-'[1]Switzerland'!E18</f>
        <v>-332</v>
      </c>
      <c r="D18" s="15">
        <f>F18-'[1]Switzerland'!F18</f>
        <v>-316</v>
      </c>
      <c r="E18" s="162">
        <v>3179</v>
      </c>
      <c r="F18" s="15">
        <v>2103</v>
      </c>
      <c r="G18" s="15">
        <f>330+594+2342+45+600+38</f>
        <v>3949</v>
      </c>
      <c r="H18" s="15">
        <f>229+412+219+8+356</f>
        <v>1224</v>
      </c>
      <c r="I18" s="112">
        <v>2867</v>
      </c>
      <c r="J18" s="112">
        <v>3436</v>
      </c>
      <c r="K18" s="112">
        <v>3582</v>
      </c>
      <c r="L18" s="112">
        <v>944</v>
      </c>
      <c r="M18" s="112">
        <v>573</v>
      </c>
      <c r="N18" s="112">
        <v>549</v>
      </c>
      <c r="O18" s="112">
        <v>442</v>
      </c>
      <c r="P18" s="112">
        <v>652</v>
      </c>
      <c r="Q18" s="112">
        <v>603</v>
      </c>
      <c r="R18" s="15">
        <v>502</v>
      </c>
      <c r="S18" s="39">
        <v>595</v>
      </c>
    </row>
    <row r="19" spans="1:19" ht="13.5" thickBot="1">
      <c r="A19" s="45" t="s">
        <v>22</v>
      </c>
      <c r="B19" s="41">
        <f t="shared" si="0"/>
        <v>0.05524530885593855</v>
      </c>
      <c r="C19" s="66">
        <f>E19-'[1]Switzerland'!E19</f>
        <v>-8279</v>
      </c>
      <c r="D19" s="42">
        <f>F19-'[1]Switzerland'!F19</f>
        <v>-8549</v>
      </c>
      <c r="E19" s="138">
        <f>SUM(E2:E18)</f>
        <v>49319</v>
      </c>
      <c r="F19" s="42">
        <f>SUM(F2:F18)</f>
        <v>46737</v>
      </c>
      <c r="G19" s="42">
        <f>SUM(G2:G18)</f>
        <v>54629</v>
      </c>
      <c r="H19" s="42">
        <f aca="true" t="shared" si="1" ref="H19:M19">SUM(H2:H18)</f>
        <v>28870</v>
      </c>
      <c r="I19" s="42">
        <f t="shared" si="1"/>
        <v>48769</v>
      </c>
      <c r="J19" s="42">
        <f t="shared" si="1"/>
        <v>48265</v>
      </c>
      <c r="K19" s="42">
        <f t="shared" si="1"/>
        <v>48810</v>
      </c>
      <c r="L19" s="42">
        <f t="shared" si="1"/>
        <v>49281.00000001</v>
      </c>
      <c r="M19" s="42">
        <f t="shared" si="1"/>
        <v>47359</v>
      </c>
      <c r="N19" s="42">
        <f aca="true" t="shared" si="2" ref="N19:S19">SUM(N2:N18)</f>
        <v>53286</v>
      </c>
      <c r="O19" s="42">
        <f t="shared" si="2"/>
        <v>50218</v>
      </c>
      <c r="P19" s="42">
        <f t="shared" si="2"/>
        <v>53245</v>
      </c>
      <c r="Q19" s="42">
        <f t="shared" si="2"/>
        <v>47370</v>
      </c>
      <c r="R19" s="42">
        <f t="shared" si="2"/>
        <v>49000</v>
      </c>
      <c r="S19" s="43">
        <f t="shared" si="2"/>
        <v>48174</v>
      </c>
    </row>
    <row r="20" spans="2:17" s="9" customFormat="1" ht="12.75">
      <c r="B20" s="44"/>
      <c r="C20" s="44"/>
      <c r="D20" s="44"/>
      <c r="E20" s="44"/>
      <c r="F20" s="198"/>
      <c r="G20" s="44"/>
      <c r="H20" s="44"/>
      <c r="I20" s="12"/>
      <c r="J20" s="12"/>
      <c r="K20" s="12"/>
      <c r="L20" s="12"/>
      <c r="M20" s="12"/>
      <c r="N20" s="12"/>
      <c r="O20" s="12"/>
      <c r="P20" s="12"/>
      <c r="Q20" s="12"/>
    </row>
    <row r="21" spans="2:17" s="9" customFormat="1" ht="13.5" thickBot="1">
      <c r="B21" s="44"/>
      <c r="C21" s="44"/>
      <c r="D21" s="44"/>
      <c r="E21" s="44"/>
      <c r="F21" s="198"/>
      <c r="G21" s="44"/>
      <c r="H21" s="44"/>
      <c r="I21" s="12"/>
      <c r="J21" s="12"/>
      <c r="K21" s="12"/>
      <c r="L21" s="12"/>
      <c r="M21" s="12"/>
      <c r="N21" s="12"/>
      <c r="O21" s="12"/>
      <c r="P21" s="12"/>
      <c r="Q21" s="12"/>
    </row>
    <row r="22" spans="1:19" s="16" customFormat="1" ht="13.5" thickBot="1">
      <c r="A22" s="31" t="s">
        <v>24</v>
      </c>
      <c r="B22" s="32" t="s">
        <v>172</v>
      </c>
      <c r="C22" s="63" t="s">
        <v>173</v>
      </c>
      <c r="D22" s="110" t="s">
        <v>166</v>
      </c>
      <c r="E22" s="161">
        <v>44228</v>
      </c>
      <c r="F22" s="113">
        <v>43862</v>
      </c>
      <c r="G22" s="113">
        <v>43497</v>
      </c>
      <c r="H22" s="113">
        <v>43132</v>
      </c>
      <c r="I22" s="33">
        <v>42767</v>
      </c>
      <c r="J22" s="33">
        <v>42401</v>
      </c>
      <c r="K22" s="33">
        <v>42036</v>
      </c>
      <c r="L22" s="33">
        <v>41671</v>
      </c>
      <c r="M22" s="33">
        <v>41306</v>
      </c>
      <c r="N22" s="33">
        <v>40940</v>
      </c>
      <c r="O22" s="33">
        <v>40575</v>
      </c>
      <c r="P22" s="33">
        <v>40210</v>
      </c>
      <c r="Q22" s="33">
        <v>39845</v>
      </c>
      <c r="R22" s="33">
        <v>39479</v>
      </c>
      <c r="S22" s="34">
        <v>39114</v>
      </c>
    </row>
    <row r="23" spans="1:19" ht="12.75">
      <c r="A23" s="27" t="s">
        <v>115</v>
      </c>
      <c r="B23" s="35">
        <f aca="true" t="shared" si="3" ref="B23:B28">(E23-F23)/F23</f>
        <v>-0.11840968020743302</v>
      </c>
      <c r="C23" s="64">
        <f>E23-'[1]Switzerland'!E23</f>
        <v>-1019</v>
      </c>
      <c r="D23" s="13">
        <f>F23-'[1]Switzerland'!F23</f>
        <v>-1124</v>
      </c>
      <c r="E23" s="148">
        <v>4080</v>
      </c>
      <c r="F23" s="8">
        <v>4628</v>
      </c>
      <c r="G23" s="13">
        <f>4245+118</f>
        <v>4363</v>
      </c>
      <c r="H23" s="13">
        <v>68</v>
      </c>
      <c r="I23" s="13">
        <v>1871</v>
      </c>
      <c r="J23" s="13">
        <v>2264</v>
      </c>
      <c r="K23" s="13">
        <v>3464</v>
      </c>
      <c r="L23" s="13">
        <v>2543</v>
      </c>
      <c r="M23" s="13">
        <v>1286</v>
      </c>
      <c r="N23" s="13">
        <v>3376</v>
      </c>
      <c r="O23" s="13">
        <v>1224</v>
      </c>
      <c r="P23" s="13">
        <v>2804</v>
      </c>
      <c r="Q23" s="13">
        <v>351</v>
      </c>
      <c r="R23" s="13">
        <v>2811</v>
      </c>
      <c r="S23" s="37">
        <v>1636</v>
      </c>
    </row>
    <row r="24" spans="1:19" ht="12.75">
      <c r="A24" s="27" t="s">
        <v>7</v>
      </c>
      <c r="B24" s="35">
        <f t="shared" si="3"/>
        <v>-0.46814404432132967</v>
      </c>
      <c r="C24" s="64">
        <f>E24-'[1]Switzerland'!E24</f>
        <v>-381</v>
      </c>
      <c r="D24" s="13">
        <f>F24-'[1]Switzerland'!F24</f>
        <v>-621</v>
      </c>
      <c r="E24" s="148">
        <v>576</v>
      </c>
      <c r="F24" s="8">
        <v>1083</v>
      </c>
      <c r="G24" s="13">
        <v>546</v>
      </c>
      <c r="H24" s="13">
        <v>26</v>
      </c>
      <c r="I24" s="13">
        <v>855</v>
      </c>
      <c r="J24" s="13">
        <v>452</v>
      </c>
      <c r="K24" s="13">
        <v>793</v>
      </c>
      <c r="L24" s="13">
        <v>525</v>
      </c>
      <c r="M24" s="13">
        <v>235</v>
      </c>
      <c r="N24" s="13">
        <v>1960</v>
      </c>
      <c r="O24" s="13">
        <v>118</v>
      </c>
      <c r="P24" s="13">
        <v>1511</v>
      </c>
      <c r="Q24" s="13">
        <v>105</v>
      </c>
      <c r="R24" s="13">
        <v>1881</v>
      </c>
      <c r="S24" s="37">
        <v>532</v>
      </c>
    </row>
    <row r="25" spans="1:19" ht="12.75">
      <c r="A25" s="27" t="s">
        <v>116</v>
      </c>
      <c r="B25" s="35">
        <f t="shared" si="3"/>
        <v>0.5319548872180451</v>
      </c>
      <c r="C25" s="64">
        <f>E25-'[1]Switzerland'!E25</f>
        <v>-290</v>
      </c>
      <c r="D25" s="13">
        <f>F25-'[1]Switzerland'!F25</f>
        <v>-498</v>
      </c>
      <c r="E25" s="148">
        <v>815</v>
      </c>
      <c r="F25" s="8">
        <v>532</v>
      </c>
      <c r="G25" s="13">
        <f>796+133</f>
        <v>929</v>
      </c>
      <c r="H25" s="13">
        <v>34</v>
      </c>
      <c r="I25" s="13">
        <v>977</v>
      </c>
      <c r="J25" s="13">
        <v>1043</v>
      </c>
      <c r="K25" s="13">
        <v>969</v>
      </c>
      <c r="L25" s="13">
        <v>992</v>
      </c>
      <c r="M25" s="13">
        <v>494</v>
      </c>
      <c r="N25" s="13">
        <v>1857</v>
      </c>
      <c r="O25" s="13">
        <v>157</v>
      </c>
      <c r="P25" s="13">
        <v>2071</v>
      </c>
      <c r="Q25" s="13">
        <v>22</v>
      </c>
      <c r="R25" s="13">
        <v>2359</v>
      </c>
      <c r="S25" s="37">
        <v>340</v>
      </c>
    </row>
    <row r="26" spans="1:19" ht="12.75">
      <c r="A26" s="27" t="s">
        <v>140</v>
      </c>
      <c r="B26" s="35">
        <f t="shared" si="3"/>
        <v>-1</v>
      </c>
      <c r="C26" s="64">
        <f>E26-'[1]Switzerland'!E26</f>
        <v>-22</v>
      </c>
      <c r="D26" s="13">
        <f>F26-'[1]Switzerland'!F26</f>
        <v>-33</v>
      </c>
      <c r="E26" s="148">
        <v>0</v>
      </c>
      <c r="F26" s="8">
        <v>25</v>
      </c>
      <c r="G26" s="13">
        <v>71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  <c r="O26" s="13"/>
      <c r="P26" s="13"/>
      <c r="Q26" s="13"/>
      <c r="R26" s="13"/>
      <c r="S26" s="37"/>
    </row>
    <row r="27" spans="1:19" ht="13.5" thickBot="1">
      <c r="A27" s="38" t="s">
        <v>58</v>
      </c>
      <c r="B27" s="36">
        <f t="shared" si="3"/>
        <v>0.32142857142857145</v>
      </c>
      <c r="C27" s="65">
        <f>E27-'[1]Switzerland'!E27</f>
        <v>-233</v>
      </c>
      <c r="D27" s="15">
        <f>F27-'[1]Switzerland'!F27</f>
        <v>-171</v>
      </c>
      <c r="E27" s="162">
        <v>333</v>
      </c>
      <c r="F27" s="15">
        <v>252</v>
      </c>
      <c r="G27" s="15">
        <f>269+44</f>
        <v>313</v>
      </c>
      <c r="H27" s="15">
        <v>17</v>
      </c>
      <c r="I27" s="15">
        <v>135</v>
      </c>
      <c r="J27" s="15">
        <v>120</v>
      </c>
      <c r="K27" s="15">
        <v>280</v>
      </c>
      <c r="L27" s="15">
        <v>141</v>
      </c>
      <c r="M27" s="15">
        <v>35</v>
      </c>
      <c r="N27" s="15">
        <v>199</v>
      </c>
      <c r="O27" s="15">
        <v>58</v>
      </c>
      <c r="P27" s="15">
        <v>156</v>
      </c>
      <c r="Q27" s="15">
        <v>17</v>
      </c>
      <c r="R27" s="15">
        <v>202</v>
      </c>
      <c r="S27" s="39">
        <v>81</v>
      </c>
    </row>
    <row r="28" spans="1:19" ht="13.5" thickBot="1">
      <c r="A28" s="40" t="s">
        <v>22</v>
      </c>
      <c r="B28" s="41">
        <f t="shared" si="3"/>
        <v>-0.1098159509202454</v>
      </c>
      <c r="C28" s="66">
        <f>E28-'[1]Switzerland'!E28</f>
        <v>-1945</v>
      </c>
      <c r="D28" s="42">
        <f>F28-'[1]Switzerland'!F28</f>
        <v>-2447</v>
      </c>
      <c r="E28" s="138">
        <f>SUM(E23:E27)</f>
        <v>5804</v>
      </c>
      <c r="F28" s="42">
        <f>SUM(F23:F27)</f>
        <v>6520</v>
      </c>
      <c r="G28" s="42">
        <f>SUM(G23:G27)</f>
        <v>6222</v>
      </c>
      <c r="H28" s="42">
        <f aca="true" t="shared" si="4" ref="H28:M28">SUM(H23:H27)</f>
        <v>145</v>
      </c>
      <c r="I28" s="42">
        <f t="shared" si="4"/>
        <v>3838</v>
      </c>
      <c r="J28" s="42">
        <f t="shared" si="4"/>
        <v>3879</v>
      </c>
      <c r="K28" s="42">
        <f t="shared" si="4"/>
        <v>5506</v>
      </c>
      <c r="L28" s="42">
        <f t="shared" si="4"/>
        <v>4201</v>
      </c>
      <c r="M28" s="42">
        <f t="shared" si="4"/>
        <v>2050</v>
      </c>
      <c r="N28" s="42">
        <f aca="true" t="shared" si="5" ref="N28:S28">SUM(N23:N27)</f>
        <v>7392</v>
      </c>
      <c r="O28" s="42">
        <f t="shared" si="5"/>
        <v>1557</v>
      </c>
      <c r="P28" s="42">
        <f t="shared" si="5"/>
        <v>6542</v>
      </c>
      <c r="Q28" s="42">
        <f t="shared" si="5"/>
        <v>495</v>
      </c>
      <c r="R28" s="42">
        <f t="shared" si="5"/>
        <v>7253</v>
      </c>
      <c r="S28" s="43">
        <f t="shared" si="5"/>
        <v>2589</v>
      </c>
    </row>
    <row r="29" ht="12.75">
      <c r="I29" s="9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6"/>
      <c r="S45" s="1"/>
      <c r="T45" s="1"/>
    </row>
    <row r="46" spans="18:20" ht="18">
      <c r="R46" s="7"/>
      <c r="S46" s="2"/>
      <c r="T4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8" width="11.28125" style="9" customWidth="1"/>
    <col min="9" max="9" width="10.28125" style="0" customWidth="1"/>
    <col min="10" max="17" width="10.28125" style="12" customWidth="1"/>
    <col min="18" max="19" width="10.28125" style="0" customWidth="1"/>
    <col min="20" max="20" width="9.140625" style="0" customWidth="1"/>
    <col min="21" max="21" width="11.00390625" style="0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27" t="s">
        <v>4</v>
      </c>
      <c r="B2" s="35">
        <f>(E2-F2)/F2</f>
        <v>-0.28483396097226976</v>
      </c>
      <c r="C2" s="64">
        <f>E2-'[1]Netherlands'!E2</f>
        <v>-1073.8000000000002</v>
      </c>
      <c r="D2" s="13">
        <f>F2-'[1]Netherlands'!F2</f>
        <v>-2079</v>
      </c>
      <c r="E2" s="148">
        <v>2089</v>
      </c>
      <c r="F2" s="8">
        <v>2921</v>
      </c>
      <c r="G2" s="13">
        <v>3158.042</v>
      </c>
      <c r="H2" s="93">
        <v>535</v>
      </c>
      <c r="I2" s="93">
        <v>3179</v>
      </c>
      <c r="J2" s="93">
        <v>5374</v>
      </c>
      <c r="K2" s="93">
        <v>5982</v>
      </c>
      <c r="L2" s="13">
        <v>5900</v>
      </c>
      <c r="M2" s="13">
        <v>3000</v>
      </c>
      <c r="N2" s="13">
        <v>4000</v>
      </c>
      <c r="O2" s="13">
        <v>4000</v>
      </c>
      <c r="P2" s="13">
        <v>4000</v>
      </c>
      <c r="Q2" s="13">
        <v>9000</v>
      </c>
      <c r="R2" s="13">
        <v>5000</v>
      </c>
      <c r="S2" s="37">
        <v>11000</v>
      </c>
    </row>
    <row r="3" spans="1:19" ht="12.75">
      <c r="A3" s="27" t="s">
        <v>2</v>
      </c>
      <c r="B3" s="35">
        <f aca="true" t="shared" si="0" ref="B3:B8">(E3-F3)/F3</f>
        <v>-0.4786973937470738</v>
      </c>
      <c r="C3" s="64">
        <f>E3-'[1]Netherlands'!E3</f>
        <v>-13453.900000000001</v>
      </c>
      <c r="D3" s="13">
        <f>F3-'[1]Netherlands'!F3</f>
        <v>-16331</v>
      </c>
      <c r="E3" s="148">
        <v>30063</v>
      </c>
      <c r="F3" s="8">
        <v>57669</v>
      </c>
      <c r="G3" s="13">
        <v>42195.348</v>
      </c>
      <c r="H3" s="93">
        <v>35587</v>
      </c>
      <c r="I3" s="93">
        <v>56334</v>
      </c>
      <c r="J3" s="93">
        <v>62317</v>
      </c>
      <c r="K3" s="93">
        <v>63782</v>
      </c>
      <c r="L3" s="13">
        <v>53324</v>
      </c>
      <c r="M3" s="13">
        <v>46000</v>
      </c>
      <c r="N3" s="13">
        <v>69000</v>
      </c>
      <c r="O3" s="13">
        <v>53000</v>
      </c>
      <c r="P3" s="13">
        <v>84000</v>
      </c>
      <c r="Q3" s="13">
        <v>64000</v>
      </c>
      <c r="R3" s="13">
        <v>62000</v>
      </c>
      <c r="S3" s="37">
        <v>50000</v>
      </c>
    </row>
    <row r="4" spans="1:19" ht="12.75">
      <c r="A4" s="27" t="s">
        <v>3</v>
      </c>
      <c r="B4" s="35">
        <f t="shared" si="0"/>
        <v>-0.23118985126859143</v>
      </c>
      <c r="C4" s="64">
        <f>E4-'[1]Netherlands'!E4</f>
        <v>-802.3999999999996</v>
      </c>
      <c r="D4" s="13">
        <f>F4-'[1]Netherlands'!F4</f>
        <v>-1428</v>
      </c>
      <c r="E4" s="148">
        <v>3515</v>
      </c>
      <c r="F4" s="8">
        <v>4572</v>
      </c>
      <c r="G4" s="13">
        <v>5693.846</v>
      </c>
      <c r="H4" s="93">
        <v>6634</v>
      </c>
      <c r="I4" s="93">
        <v>8141</v>
      </c>
      <c r="J4" s="93">
        <v>12458</v>
      </c>
      <c r="K4" s="93">
        <v>13812</v>
      </c>
      <c r="L4" s="13">
        <v>15387</v>
      </c>
      <c r="M4" s="13">
        <v>15000</v>
      </c>
      <c r="N4" s="13">
        <v>15000</v>
      </c>
      <c r="O4" s="13">
        <v>12000</v>
      </c>
      <c r="P4" s="13">
        <v>12000</v>
      </c>
      <c r="Q4" s="13">
        <v>16000</v>
      </c>
      <c r="R4" s="13">
        <v>15000</v>
      </c>
      <c r="S4" s="37">
        <v>17000</v>
      </c>
    </row>
    <row r="5" spans="1:19" ht="12.75">
      <c r="A5" s="29" t="s">
        <v>106</v>
      </c>
      <c r="B5" s="35">
        <f t="shared" si="0"/>
        <v>-0.1809727314668674</v>
      </c>
      <c r="C5" s="64">
        <f>E5-'[1]Netherlands'!E5</f>
        <v>-8154.300000000003</v>
      </c>
      <c r="D5" s="13">
        <f>F5-'[1]Netherlands'!F5</f>
        <v>-7817</v>
      </c>
      <c r="E5" s="148">
        <v>33730</v>
      </c>
      <c r="F5" s="8">
        <v>41183</v>
      </c>
      <c r="G5" s="13">
        <v>41004.101</v>
      </c>
      <c r="H5" s="93">
        <v>34009</v>
      </c>
      <c r="I5" s="172">
        <v>58774</v>
      </c>
      <c r="J5" s="172">
        <v>56353</v>
      </c>
      <c r="K5" s="172">
        <v>62439</v>
      </c>
      <c r="L5" s="111">
        <v>63948</v>
      </c>
      <c r="M5" s="111">
        <v>59000</v>
      </c>
      <c r="N5" s="111">
        <v>98000</v>
      </c>
      <c r="O5" s="111">
        <v>59000</v>
      </c>
      <c r="P5" s="111">
        <v>89000</v>
      </c>
      <c r="Q5" s="111">
        <v>89000</v>
      </c>
      <c r="R5" s="13">
        <v>88000</v>
      </c>
      <c r="S5" s="37">
        <v>80000</v>
      </c>
    </row>
    <row r="6" spans="1:19" ht="12.75">
      <c r="A6" s="29" t="s">
        <v>133</v>
      </c>
      <c r="B6" s="35">
        <f t="shared" si="0"/>
        <v>-0.08682923070996572</v>
      </c>
      <c r="C6" s="64">
        <f>E6-'[1]Netherlands'!E6</f>
        <v>-6697.299999999999</v>
      </c>
      <c r="D6" s="13">
        <f>F6-'[1]Netherlands'!F6</f>
        <v>-4041</v>
      </c>
      <c r="E6" s="148">
        <v>23705</v>
      </c>
      <c r="F6" s="8">
        <v>25959</v>
      </c>
      <c r="G6" s="13">
        <v>26745.378</v>
      </c>
      <c r="H6" s="93">
        <v>15470</v>
      </c>
      <c r="I6" s="172">
        <v>25238</v>
      </c>
      <c r="J6" s="172">
        <v>22057</v>
      </c>
      <c r="K6" s="172">
        <v>22057</v>
      </c>
      <c r="L6" s="111">
        <v>17502</v>
      </c>
      <c r="M6" s="111"/>
      <c r="N6" s="111"/>
      <c r="O6" s="111"/>
      <c r="P6" s="111"/>
      <c r="Q6" s="111"/>
      <c r="R6" s="13"/>
      <c r="S6" s="37"/>
    </row>
    <row r="7" spans="1:19" ht="13.5" thickBot="1">
      <c r="A7" s="89" t="s">
        <v>58</v>
      </c>
      <c r="B7" s="36">
        <f t="shared" si="0"/>
        <v>-0.04806022003474233</v>
      </c>
      <c r="C7" s="65">
        <f>E7-'[1]Netherlands'!E7</f>
        <v>-2079.8999999999996</v>
      </c>
      <c r="D7" s="15">
        <f>F7-'[1]Netherlands'!F7</f>
        <v>-2092</v>
      </c>
      <c r="E7" s="162">
        <v>6576</v>
      </c>
      <c r="F7" s="15">
        <v>6908</v>
      </c>
      <c r="G7" s="15">
        <v>7689.518</v>
      </c>
      <c r="H7" s="94">
        <v>6089</v>
      </c>
      <c r="I7" s="173">
        <v>7312</v>
      </c>
      <c r="J7" s="173">
        <v>5869</v>
      </c>
      <c r="K7" s="173">
        <v>7055</v>
      </c>
      <c r="L7" s="112">
        <v>6609</v>
      </c>
      <c r="M7" s="112">
        <v>23000</v>
      </c>
      <c r="N7" s="112">
        <v>25000</v>
      </c>
      <c r="O7" s="112">
        <v>23000</v>
      </c>
      <c r="P7" s="112">
        <v>16000</v>
      </c>
      <c r="Q7" s="112">
        <v>7000</v>
      </c>
      <c r="R7" s="15">
        <v>5000</v>
      </c>
      <c r="S7" s="39">
        <v>9000</v>
      </c>
    </row>
    <row r="8" spans="1:19" ht="13.5" thickBot="1">
      <c r="A8" s="45" t="s">
        <v>22</v>
      </c>
      <c r="B8" s="41">
        <f t="shared" si="0"/>
        <v>-0.2839841392983363</v>
      </c>
      <c r="C8" s="66">
        <f>E8-'[1]Netherlands'!E8</f>
        <v>-32261.600000000006</v>
      </c>
      <c r="D8" s="42">
        <f>F8-'[1]Netherlands'!F8</f>
        <v>-33788</v>
      </c>
      <c r="E8" s="138">
        <f>SUM(E2:E7)</f>
        <v>99678</v>
      </c>
      <c r="F8" s="42">
        <f>SUM(F2:F7)</f>
        <v>139212</v>
      </c>
      <c r="G8" s="42">
        <f>SUM(G2:G7)</f>
        <v>126486.233</v>
      </c>
      <c r="H8" s="42">
        <f aca="true" t="shared" si="1" ref="H8:S8">SUM(H2:H7)</f>
        <v>98324</v>
      </c>
      <c r="I8" s="42">
        <f t="shared" si="1"/>
        <v>158978</v>
      </c>
      <c r="J8" s="42">
        <f t="shared" si="1"/>
        <v>164428</v>
      </c>
      <c r="K8" s="42">
        <f t="shared" si="1"/>
        <v>175127</v>
      </c>
      <c r="L8" s="42">
        <f t="shared" si="1"/>
        <v>162670</v>
      </c>
      <c r="M8" s="42">
        <f t="shared" si="1"/>
        <v>146000</v>
      </c>
      <c r="N8" s="42">
        <f t="shared" si="1"/>
        <v>211000</v>
      </c>
      <c r="O8" s="42">
        <f t="shared" si="1"/>
        <v>151000</v>
      </c>
      <c r="P8" s="42">
        <f t="shared" si="1"/>
        <v>205000</v>
      </c>
      <c r="Q8" s="42">
        <f t="shared" si="1"/>
        <v>185000</v>
      </c>
      <c r="R8" s="42">
        <f t="shared" si="1"/>
        <v>175000</v>
      </c>
      <c r="S8" s="43">
        <f t="shared" si="1"/>
        <v>167000</v>
      </c>
    </row>
    <row r="9" spans="2:17" s="9" customFormat="1" ht="12.75">
      <c r="B9" s="44"/>
      <c r="C9" s="44"/>
      <c r="D9" s="44"/>
      <c r="E9" s="44"/>
      <c r="F9" s="198"/>
      <c r="G9" s="44"/>
      <c r="H9" s="171"/>
      <c r="I9" s="44"/>
      <c r="J9" s="12"/>
      <c r="K9" s="12"/>
      <c r="L9" s="12"/>
      <c r="M9" s="12"/>
      <c r="N9" s="12"/>
      <c r="O9" s="12"/>
      <c r="P9" s="12"/>
      <c r="Q9" s="12"/>
    </row>
    <row r="10" spans="2:17" s="9" customFormat="1" ht="13.5" thickBot="1">
      <c r="B10" s="44"/>
      <c r="C10" s="44"/>
      <c r="D10" s="44"/>
      <c r="E10" s="44"/>
      <c r="F10" s="198"/>
      <c r="G10" s="44"/>
      <c r="H10" s="171"/>
      <c r="I10" s="44"/>
      <c r="J10" s="12"/>
      <c r="K10" s="12"/>
      <c r="L10" s="12"/>
      <c r="M10" s="12"/>
      <c r="N10" s="12"/>
      <c r="O10" s="12"/>
      <c r="P10" s="12"/>
      <c r="Q10" s="12"/>
    </row>
    <row r="11" spans="1:19" s="16" customFormat="1" ht="13.5" thickBot="1">
      <c r="A11" s="31" t="s">
        <v>24</v>
      </c>
      <c r="B11" s="32" t="s">
        <v>172</v>
      </c>
      <c r="C11" s="63" t="s">
        <v>173</v>
      </c>
      <c r="D11" s="110" t="s">
        <v>166</v>
      </c>
      <c r="E11" s="161">
        <v>44228</v>
      </c>
      <c r="F11" s="113">
        <v>43862</v>
      </c>
      <c r="G11" s="113">
        <v>43497</v>
      </c>
      <c r="H11" s="113">
        <v>43132</v>
      </c>
      <c r="I11" s="33">
        <v>42767</v>
      </c>
      <c r="J11" s="33">
        <v>42401</v>
      </c>
      <c r="K11" s="33">
        <v>42036</v>
      </c>
      <c r="L11" s="33">
        <v>41671</v>
      </c>
      <c r="M11" s="33">
        <v>41306</v>
      </c>
      <c r="N11" s="33">
        <v>40940</v>
      </c>
      <c r="O11" s="33">
        <v>40575</v>
      </c>
      <c r="P11" s="33">
        <v>40210</v>
      </c>
      <c r="Q11" s="33">
        <v>39845</v>
      </c>
      <c r="R11" s="33">
        <v>39479</v>
      </c>
      <c r="S11" s="34">
        <v>39114</v>
      </c>
    </row>
    <row r="12" spans="1:19" ht="12.75">
      <c r="A12" s="27" t="s">
        <v>7</v>
      </c>
      <c r="B12" s="35">
        <f>(E12-F12)/F12</f>
        <v>0.13198565646821986</v>
      </c>
      <c r="C12" s="64">
        <f>E12-'[1]Netherlands'!E12</f>
        <v>-35236.600000000006</v>
      </c>
      <c r="D12" s="13">
        <f>F12-'[1]Netherlands'!F12</f>
        <v>-31939</v>
      </c>
      <c r="E12" s="148">
        <v>161943</v>
      </c>
      <c r="F12" s="8">
        <v>143061</v>
      </c>
      <c r="G12" s="13">
        <v>163298.852</v>
      </c>
      <c r="H12" s="93">
        <v>141322</v>
      </c>
      <c r="I12" s="13">
        <v>149693</v>
      </c>
      <c r="J12" s="13">
        <v>150074</v>
      </c>
      <c r="K12" s="13">
        <v>144131</v>
      </c>
      <c r="L12" s="13">
        <v>139259</v>
      </c>
      <c r="M12" s="13">
        <v>77000</v>
      </c>
      <c r="N12" s="13">
        <v>126000</v>
      </c>
      <c r="O12" s="13">
        <v>98000</v>
      </c>
      <c r="P12" s="13">
        <v>115000</v>
      </c>
      <c r="Q12" s="13">
        <v>51000</v>
      </c>
      <c r="R12" s="13">
        <v>77000</v>
      </c>
      <c r="S12" s="37">
        <v>75000</v>
      </c>
    </row>
    <row r="13" spans="1:19" ht="12.75">
      <c r="A13" s="27" t="s">
        <v>99</v>
      </c>
      <c r="B13" s="35">
        <f>(E13-F13)/F13</f>
        <v>-0.17624047766110768</v>
      </c>
      <c r="C13" s="64">
        <f>E13-'[1]Netherlands'!E13</f>
        <v>-4493.700000000001</v>
      </c>
      <c r="D13" s="13">
        <f>F13-'[1]Netherlands'!F13</f>
        <v>-4143</v>
      </c>
      <c r="E13" s="148">
        <v>4001</v>
      </c>
      <c r="F13" s="8">
        <v>4857</v>
      </c>
      <c r="G13" s="13">
        <v>6990.363</v>
      </c>
      <c r="H13" s="93">
        <v>1308</v>
      </c>
      <c r="I13" s="13">
        <v>5978</v>
      </c>
      <c r="J13" s="13">
        <v>5571</v>
      </c>
      <c r="K13" s="13">
        <v>2967</v>
      </c>
      <c r="L13" s="13">
        <v>5298</v>
      </c>
      <c r="M13" s="13">
        <v>1000</v>
      </c>
      <c r="N13" s="13">
        <v>4000</v>
      </c>
      <c r="O13" s="13">
        <v>4000</v>
      </c>
      <c r="P13" s="13">
        <v>4000</v>
      </c>
      <c r="Q13" s="13">
        <v>2000</v>
      </c>
      <c r="R13" s="13">
        <v>4000</v>
      </c>
      <c r="S13" s="37">
        <v>4000</v>
      </c>
    </row>
    <row r="14" spans="1:19" ht="13.5" thickBot="1">
      <c r="A14" s="38" t="s">
        <v>6</v>
      </c>
      <c r="B14" s="36">
        <f>(E14-F14)/F14</f>
        <v>0.29333333333333333</v>
      </c>
      <c r="C14" s="65">
        <f>E14-'[1]Netherlands'!E14</f>
        <v>-6928.200000000001</v>
      </c>
      <c r="D14" s="15">
        <f>F14-'[1]Netherlands'!F14</f>
        <v>-7000</v>
      </c>
      <c r="E14" s="162">
        <v>11640</v>
      </c>
      <c r="F14" s="15">
        <v>9000</v>
      </c>
      <c r="G14" s="15">
        <v>11599</v>
      </c>
      <c r="H14" s="94">
        <v>5426</v>
      </c>
      <c r="I14" s="15">
        <v>10044</v>
      </c>
      <c r="J14" s="15">
        <v>11190</v>
      </c>
      <c r="K14" s="15">
        <v>7592</v>
      </c>
      <c r="L14" s="15">
        <v>10317</v>
      </c>
      <c r="M14" s="15">
        <v>1000</v>
      </c>
      <c r="N14" s="15">
        <v>2000</v>
      </c>
      <c r="O14" s="15">
        <v>1000</v>
      </c>
      <c r="P14" s="15">
        <v>2000</v>
      </c>
      <c r="Q14" s="15">
        <v>1000</v>
      </c>
      <c r="R14" s="15">
        <v>1000</v>
      </c>
      <c r="S14" s="39">
        <v>1000</v>
      </c>
    </row>
    <row r="15" spans="1:19" ht="13.5" thickBot="1">
      <c r="A15" s="40" t="s">
        <v>22</v>
      </c>
      <c r="B15" s="41">
        <f>(E15-F15)/F15</f>
        <v>0.13169935890082718</v>
      </c>
      <c r="C15" s="66">
        <f>E15-'[1]Netherlands'!E15</f>
        <v>-46658.50000000003</v>
      </c>
      <c r="D15" s="42">
        <f>F15-'[1]Netherlands'!F15</f>
        <v>-43082</v>
      </c>
      <c r="E15" s="138">
        <f>SUM(E12:E14)</f>
        <v>177584</v>
      </c>
      <c r="F15" s="42">
        <f>SUM(F12:F14)</f>
        <v>156918</v>
      </c>
      <c r="G15" s="42">
        <f>SUM(G12:G14)</f>
        <v>181888.21500000003</v>
      </c>
      <c r="H15" s="42">
        <f aca="true" t="shared" si="2" ref="H15:M15">SUM(H12:H14)</f>
        <v>148056</v>
      </c>
      <c r="I15" s="42">
        <f t="shared" si="2"/>
        <v>165715</v>
      </c>
      <c r="J15" s="42">
        <f t="shared" si="2"/>
        <v>166835</v>
      </c>
      <c r="K15" s="42">
        <f t="shared" si="2"/>
        <v>154690</v>
      </c>
      <c r="L15" s="42">
        <f t="shared" si="2"/>
        <v>154874</v>
      </c>
      <c r="M15" s="42">
        <f t="shared" si="2"/>
        <v>79000</v>
      </c>
      <c r="N15" s="42">
        <f aca="true" t="shared" si="3" ref="N15:S15">SUM(N12:N14)</f>
        <v>132000</v>
      </c>
      <c r="O15" s="42">
        <f t="shared" si="3"/>
        <v>103000</v>
      </c>
      <c r="P15" s="42">
        <f t="shared" si="3"/>
        <v>121000</v>
      </c>
      <c r="Q15" s="42">
        <f t="shared" si="3"/>
        <v>54000</v>
      </c>
      <c r="R15" s="42">
        <f t="shared" si="3"/>
        <v>82000</v>
      </c>
      <c r="S15" s="43">
        <f t="shared" si="3"/>
        <v>80000</v>
      </c>
    </row>
    <row r="22" spans="18:20" ht="18">
      <c r="R22" s="5"/>
      <c r="S22" s="1"/>
      <c r="T22" s="1"/>
    </row>
    <row r="23" spans="18:20" ht="18">
      <c r="R23" s="5"/>
      <c r="S23" s="1"/>
      <c r="T23" s="1"/>
    </row>
    <row r="24" spans="18:20" ht="18">
      <c r="R24" s="5"/>
      <c r="S24" s="1"/>
      <c r="T24" s="1"/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6"/>
      <c r="S32" s="1"/>
      <c r="T32" s="1"/>
    </row>
    <row r="33" spans="18:20" ht="18">
      <c r="R33" s="7"/>
      <c r="S33" s="2"/>
      <c r="T3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customWidth="1"/>
    <col min="4" max="8" width="11.421875" style="9" customWidth="1"/>
    <col min="9" max="9" width="10.140625" style="0" bestFit="1" customWidth="1"/>
    <col min="10" max="17" width="10.140625" style="9" bestFit="1" customWidth="1"/>
    <col min="18" max="19" width="10.140625" style="0" bestFit="1" customWidth="1"/>
  </cols>
  <sheetData>
    <row r="1" spans="1:19" ht="13.5" thickBot="1">
      <c r="A1" s="53" t="s">
        <v>89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52">
        <v>39479</v>
      </c>
      <c r="S1" s="34">
        <v>39114</v>
      </c>
    </row>
    <row r="2" spans="1:19" ht="12.75">
      <c r="A2" s="54" t="s">
        <v>11</v>
      </c>
      <c r="B2" s="61">
        <f>(E2-F2)/F2</f>
        <v>-0.16785145238387056</v>
      </c>
      <c r="C2" s="104">
        <f>E2-'[1]UK'!E2</f>
        <v>-2552</v>
      </c>
      <c r="D2" s="93">
        <f>F2-'[1]UK'!F2</f>
        <v>-4282</v>
      </c>
      <c r="E2" s="57">
        <v>13579</v>
      </c>
      <c r="F2" s="93">
        <v>16318</v>
      </c>
      <c r="G2" s="93">
        <v>13421</v>
      </c>
      <c r="H2" s="93">
        <v>7512</v>
      </c>
      <c r="I2" s="93">
        <v>13930</v>
      </c>
      <c r="J2" s="93">
        <v>15800</v>
      </c>
      <c r="K2" s="93">
        <v>14500</v>
      </c>
      <c r="L2" s="93">
        <v>12700</v>
      </c>
      <c r="M2" s="93">
        <v>5000</v>
      </c>
      <c r="N2" s="93">
        <v>11000</v>
      </c>
      <c r="O2" s="93">
        <v>8500</v>
      </c>
      <c r="P2" s="93">
        <v>13000</v>
      </c>
      <c r="Q2" s="93">
        <v>5000</v>
      </c>
      <c r="R2" s="51">
        <v>5800</v>
      </c>
      <c r="S2" s="83">
        <v>2500</v>
      </c>
    </row>
    <row r="3" spans="1:19" ht="12.75">
      <c r="A3" s="54" t="s">
        <v>35</v>
      </c>
      <c r="B3" s="61">
        <f aca="true" t="shared" si="0" ref="B3:B12">(E3-F3)/F3</f>
        <v>0.022165068973579612</v>
      </c>
      <c r="C3" s="104">
        <f>E3-'[1]UK'!E3</f>
        <v>80</v>
      </c>
      <c r="D3" s="93">
        <f>F3-'[1]UK'!F3</f>
        <v>-10349</v>
      </c>
      <c r="E3" s="57">
        <v>21859</v>
      </c>
      <c r="F3" s="93">
        <v>21385</v>
      </c>
      <c r="G3" s="93">
        <v>28905</v>
      </c>
      <c r="H3" s="93">
        <v>28000</v>
      </c>
      <c r="I3" s="93">
        <v>29000</v>
      </c>
      <c r="J3" s="93">
        <v>29500</v>
      </c>
      <c r="K3" s="93">
        <v>45000</v>
      </c>
      <c r="L3" s="93">
        <v>42000</v>
      </c>
      <c r="M3" s="93">
        <v>19000</v>
      </c>
      <c r="N3" s="93">
        <v>43000</v>
      </c>
      <c r="O3" s="93">
        <v>53000</v>
      </c>
      <c r="P3" s="93">
        <v>44000</v>
      </c>
      <c r="Q3" s="93">
        <v>41000</v>
      </c>
      <c r="R3" s="51">
        <v>39000</v>
      </c>
      <c r="S3" s="83">
        <v>42000</v>
      </c>
    </row>
    <row r="4" spans="1:19" ht="12.75">
      <c r="A4" s="54" t="s">
        <v>28</v>
      </c>
      <c r="B4" s="61">
        <f t="shared" si="0"/>
        <v>0.6771496815286624</v>
      </c>
      <c r="C4" s="104">
        <f>E4-'[1]UK'!E4</f>
        <v>-95</v>
      </c>
      <c r="D4" s="93">
        <f>F4-'[1]UK'!F4</f>
        <v>-421</v>
      </c>
      <c r="E4" s="57">
        <v>4213</v>
      </c>
      <c r="F4" s="93">
        <v>2512</v>
      </c>
      <c r="G4" s="93">
        <v>2256</v>
      </c>
      <c r="H4" s="93">
        <v>956</v>
      </c>
      <c r="I4" s="93"/>
      <c r="J4" s="93">
        <v>1900</v>
      </c>
      <c r="K4" s="93">
        <v>1000</v>
      </c>
      <c r="L4" s="93">
        <v>1100</v>
      </c>
      <c r="M4" s="93"/>
      <c r="N4" s="93"/>
      <c r="O4" s="93"/>
      <c r="P4" s="93"/>
      <c r="Q4" s="93">
        <v>700</v>
      </c>
      <c r="R4" s="51"/>
      <c r="S4" s="83"/>
    </row>
    <row r="5" spans="1:19" ht="12.75">
      <c r="A5" s="54" t="s">
        <v>5</v>
      </c>
      <c r="B5" s="61">
        <f t="shared" si="0"/>
        <v>-0.4020618556701031</v>
      </c>
      <c r="C5" s="104">
        <f>E5-'[1]UK'!E5</f>
        <v>-1509</v>
      </c>
      <c r="D5" s="93">
        <f>F5-'[1]UK'!F5</f>
        <v>-1482</v>
      </c>
      <c r="E5" s="57">
        <v>1682</v>
      </c>
      <c r="F5" s="93">
        <v>2813</v>
      </c>
      <c r="G5" s="93">
        <v>4111</v>
      </c>
      <c r="H5" s="93">
        <v>2051</v>
      </c>
      <c r="I5" s="93">
        <v>5319</v>
      </c>
      <c r="J5" s="93">
        <v>8700</v>
      </c>
      <c r="K5" s="93">
        <v>4500</v>
      </c>
      <c r="L5" s="93">
        <v>10900</v>
      </c>
      <c r="M5" s="93">
        <v>4500</v>
      </c>
      <c r="N5" s="93">
        <v>9000</v>
      </c>
      <c r="O5" s="93">
        <v>12000</v>
      </c>
      <c r="P5" s="93">
        <v>13500</v>
      </c>
      <c r="Q5" s="93">
        <v>9000</v>
      </c>
      <c r="R5" s="51">
        <v>14000</v>
      </c>
      <c r="S5" s="83">
        <v>8000</v>
      </c>
    </row>
    <row r="6" spans="1:19" ht="12.75">
      <c r="A6" s="54" t="s">
        <v>9</v>
      </c>
      <c r="B6" s="61">
        <f t="shared" si="0"/>
        <v>-0.05733197912653661</v>
      </c>
      <c r="C6" s="104">
        <f>E6-'[1]UK'!E6</f>
        <v>-5776</v>
      </c>
      <c r="D6" s="93">
        <f>F6-'[1]UK'!F6</f>
        <v>-9648</v>
      </c>
      <c r="E6" s="57">
        <v>26916</v>
      </c>
      <c r="F6" s="93">
        <v>28553</v>
      </c>
      <c r="G6" s="93">
        <v>24426</v>
      </c>
      <c r="H6" s="93">
        <v>21685</v>
      </c>
      <c r="I6" s="93">
        <v>16490</v>
      </c>
      <c r="J6" s="93">
        <v>27700</v>
      </c>
      <c r="K6" s="93">
        <v>14500</v>
      </c>
      <c r="L6" s="93">
        <v>14500</v>
      </c>
      <c r="M6" s="93">
        <v>10000</v>
      </c>
      <c r="N6" s="93">
        <v>10000</v>
      </c>
      <c r="O6" s="93">
        <v>11000</v>
      </c>
      <c r="P6" s="93">
        <v>8500</v>
      </c>
      <c r="Q6" s="93">
        <v>5500</v>
      </c>
      <c r="R6" s="51">
        <v>3000</v>
      </c>
      <c r="S6" s="83">
        <v>1000</v>
      </c>
    </row>
    <row r="7" spans="1:20" ht="12.75">
      <c r="A7" s="54" t="s">
        <v>26</v>
      </c>
      <c r="B7" s="61">
        <f t="shared" si="0"/>
        <v>-1</v>
      </c>
      <c r="C7" s="104">
        <f>E7-'[1]UK'!E7</f>
        <v>-92</v>
      </c>
      <c r="D7" s="93">
        <f>F7-'[1]UK'!F7</f>
        <v>5</v>
      </c>
      <c r="E7" s="57"/>
      <c r="F7" s="93">
        <v>150</v>
      </c>
      <c r="G7" s="93">
        <v>190</v>
      </c>
      <c r="H7" s="93"/>
      <c r="I7" s="93"/>
      <c r="J7" s="93">
        <v>0</v>
      </c>
      <c r="K7" s="93">
        <v>0</v>
      </c>
      <c r="L7" s="93">
        <v>1000</v>
      </c>
      <c r="M7" s="93">
        <v>0</v>
      </c>
      <c r="N7" s="93">
        <v>0</v>
      </c>
      <c r="O7" s="93">
        <v>0</v>
      </c>
      <c r="P7" s="93">
        <v>300</v>
      </c>
      <c r="Q7" s="93">
        <v>1300</v>
      </c>
      <c r="R7" s="51">
        <v>4000</v>
      </c>
      <c r="S7" s="83">
        <v>1000</v>
      </c>
      <c r="T7" s="1"/>
    </row>
    <row r="8" spans="1:19" ht="12.75">
      <c r="A8" s="54" t="s">
        <v>25</v>
      </c>
      <c r="B8" s="142"/>
      <c r="C8" s="104">
        <f>E8-'[1]UK'!E8</f>
        <v>0</v>
      </c>
      <c r="D8" s="93">
        <f>F8-'[1]UK'!F8</f>
        <v>0</v>
      </c>
      <c r="E8" s="57"/>
      <c r="F8" s="93"/>
      <c r="G8" s="93">
        <v>0</v>
      </c>
      <c r="H8" s="93">
        <v>899</v>
      </c>
      <c r="I8" s="93"/>
      <c r="J8" s="93">
        <v>3000</v>
      </c>
      <c r="K8" s="93">
        <v>3000</v>
      </c>
      <c r="L8" s="93">
        <v>5000</v>
      </c>
      <c r="M8" s="93">
        <v>1000</v>
      </c>
      <c r="N8" s="93">
        <v>2000</v>
      </c>
      <c r="O8" s="93">
        <v>2000</v>
      </c>
      <c r="P8" s="93">
        <v>2000</v>
      </c>
      <c r="Q8" s="93">
        <v>2000</v>
      </c>
      <c r="R8" s="51"/>
      <c r="S8" s="83"/>
    </row>
    <row r="9" spans="1:19" ht="12.75">
      <c r="A9" s="54" t="s">
        <v>34</v>
      </c>
      <c r="B9" s="142">
        <f t="shared" si="0"/>
        <v>1.02</v>
      </c>
      <c r="C9" s="104">
        <f>E9-'[1]UK'!E9</f>
        <v>-18</v>
      </c>
      <c r="D9" s="93">
        <f>F9-'[1]UK'!F9</f>
        <v>-35</v>
      </c>
      <c r="E9" s="57">
        <v>202</v>
      </c>
      <c r="F9" s="93">
        <v>100</v>
      </c>
      <c r="G9" s="93">
        <v>120</v>
      </c>
      <c r="H9" s="93"/>
      <c r="I9" s="93"/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51"/>
      <c r="S9" s="83"/>
    </row>
    <row r="10" spans="1:19" ht="12.75">
      <c r="A10" s="54" t="s">
        <v>133</v>
      </c>
      <c r="B10" s="142">
        <f t="shared" si="0"/>
        <v>0.018971464408905615</v>
      </c>
      <c r="C10" s="104">
        <f>E10-'[1]UK'!E10</f>
        <v>-1598</v>
      </c>
      <c r="D10" s="93">
        <f>F10-'[1]UK'!F10</f>
        <v>-493</v>
      </c>
      <c r="E10" s="57">
        <v>6499</v>
      </c>
      <c r="F10" s="93">
        <v>6378</v>
      </c>
      <c r="G10" s="93">
        <v>6215</v>
      </c>
      <c r="H10" s="93">
        <f>4198</f>
        <v>4198</v>
      </c>
      <c r="I10" s="93"/>
      <c r="J10" s="93">
        <v>7000</v>
      </c>
      <c r="K10" s="93">
        <v>6000</v>
      </c>
      <c r="L10" s="93">
        <v>5500</v>
      </c>
      <c r="M10" s="93">
        <v>3000</v>
      </c>
      <c r="N10" s="93">
        <v>3000</v>
      </c>
      <c r="O10" s="93">
        <v>5000</v>
      </c>
      <c r="P10" s="93">
        <v>5000</v>
      </c>
      <c r="Q10" s="93"/>
      <c r="R10" s="51"/>
      <c r="S10" s="83"/>
    </row>
    <row r="11" spans="1:19" ht="13.5" thickBot="1">
      <c r="A11" s="55" t="s">
        <v>6</v>
      </c>
      <c r="B11" s="142">
        <f t="shared" si="0"/>
        <v>-0.8208773354995939</v>
      </c>
      <c r="C11" s="104">
        <f>E11-'[1]UK'!E11</f>
        <v>-640</v>
      </c>
      <c r="D11" s="93">
        <f>F11-'[1]UK'!F11</f>
        <v>-525</v>
      </c>
      <c r="E11" s="57">
        <v>441</v>
      </c>
      <c r="F11" s="93">
        <v>2462</v>
      </c>
      <c r="G11" s="93">
        <v>1860</v>
      </c>
      <c r="H11" s="93">
        <v>899</v>
      </c>
      <c r="I11" s="94">
        <v>6740</v>
      </c>
      <c r="J11" s="94">
        <v>2000</v>
      </c>
      <c r="K11" s="94">
        <v>1000</v>
      </c>
      <c r="L11" s="94">
        <v>1000</v>
      </c>
      <c r="M11" s="94">
        <v>500</v>
      </c>
      <c r="N11" s="94">
        <v>500</v>
      </c>
      <c r="O11" s="94">
        <v>1000</v>
      </c>
      <c r="P11" s="94">
        <v>3000</v>
      </c>
      <c r="Q11" s="94">
        <v>4000</v>
      </c>
      <c r="R11" s="50">
        <v>4500</v>
      </c>
      <c r="S11" s="84">
        <v>1000</v>
      </c>
    </row>
    <row r="12" spans="1:19" ht="13.5" thickBot="1">
      <c r="A12" s="56" t="s">
        <v>90</v>
      </c>
      <c r="B12" s="143">
        <f t="shared" si="0"/>
        <v>-0.06545102949015136</v>
      </c>
      <c r="C12" s="90">
        <f>E12-'[1]UK'!E12</f>
        <v>-12200</v>
      </c>
      <c r="D12" s="125">
        <f>F12-'[1]UK'!F12</f>
        <v>-27230</v>
      </c>
      <c r="E12" s="59">
        <f>SUM(E2:E11)</f>
        <v>75391</v>
      </c>
      <c r="F12" s="125">
        <f>SUM(F2:F11)</f>
        <v>80671</v>
      </c>
      <c r="G12" s="125">
        <f>SUM(G2:G11)</f>
        <v>81504</v>
      </c>
      <c r="H12" s="125">
        <f aca="true" t="shared" si="1" ref="H12:M12">SUM(H2:H11)</f>
        <v>66200</v>
      </c>
      <c r="I12" s="125">
        <f t="shared" si="1"/>
        <v>71479</v>
      </c>
      <c r="J12" s="125">
        <f t="shared" si="1"/>
        <v>95600</v>
      </c>
      <c r="K12" s="125">
        <f t="shared" si="1"/>
        <v>89500</v>
      </c>
      <c r="L12" s="125">
        <f t="shared" si="1"/>
        <v>93700</v>
      </c>
      <c r="M12" s="125">
        <f t="shared" si="1"/>
        <v>43000</v>
      </c>
      <c r="N12" s="125">
        <f aca="true" t="shared" si="2" ref="N12:S12">SUM(N2:N11)</f>
        <v>78500</v>
      </c>
      <c r="O12" s="125">
        <f t="shared" si="2"/>
        <v>92500</v>
      </c>
      <c r="P12" s="125">
        <f t="shared" si="2"/>
        <v>89300</v>
      </c>
      <c r="Q12" s="125">
        <f t="shared" si="2"/>
        <v>68500</v>
      </c>
      <c r="R12" s="60">
        <f t="shared" si="2"/>
        <v>70300</v>
      </c>
      <c r="S12" s="43">
        <f t="shared" si="2"/>
        <v>55500</v>
      </c>
    </row>
    <row r="13" spans="2:9" ht="12.75">
      <c r="B13" s="144"/>
      <c r="I13" s="9"/>
    </row>
    <row r="14" spans="2:19" ht="13.5" thickBot="1">
      <c r="B14" s="145"/>
      <c r="C14" s="3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3"/>
      <c r="S14" s="3"/>
    </row>
    <row r="15" spans="1:19" s="70" customFormat="1" ht="13.5" thickBot="1">
      <c r="A15" s="68" t="s">
        <v>89</v>
      </c>
      <c r="B15" s="32" t="s">
        <v>172</v>
      </c>
      <c r="C15" s="63" t="s">
        <v>173</v>
      </c>
      <c r="D15" s="110" t="s">
        <v>166</v>
      </c>
      <c r="E15" s="161">
        <v>44228</v>
      </c>
      <c r="F15" s="113">
        <v>43862</v>
      </c>
      <c r="G15" s="113">
        <v>43497</v>
      </c>
      <c r="H15" s="113">
        <v>43132</v>
      </c>
      <c r="I15" s="33">
        <v>42767</v>
      </c>
      <c r="J15" s="117">
        <v>42401</v>
      </c>
      <c r="K15" s="117">
        <v>42036</v>
      </c>
      <c r="L15" s="117">
        <v>41671</v>
      </c>
      <c r="M15" s="117">
        <v>41306</v>
      </c>
      <c r="N15" s="117">
        <v>40940</v>
      </c>
      <c r="O15" s="117">
        <v>40575</v>
      </c>
      <c r="P15" s="117">
        <v>40210</v>
      </c>
      <c r="Q15" s="117">
        <v>39845</v>
      </c>
      <c r="R15" s="69">
        <v>39479</v>
      </c>
      <c r="S15" s="85">
        <v>39114</v>
      </c>
    </row>
    <row r="16" spans="1:19" s="67" customFormat="1" ht="12.75">
      <c r="A16" s="71" t="s">
        <v>7</v>
      </c>
      <c r="B16" s="146">
        <f>(E16-F16)/F16</f>
        <v>0.1963816749343449</v>
      </c>
      <c r="C16" s="102">
        <f>E16-'[1]UK'!E16</f>
        <v>-1504</v>
      </c>
      <c r="D16" s="98">
        <f>F16-'[1]UK'!F16</f>
        <v>-1560</v>
      </c>
      <c r="E16" s="73">
        <v>4100</v>
      </c>
      <c r="F16" s="98">
        <v>3427</v>
      </c>
      <c r="G16" s="98">
        <v>4913</v>
      </c>
      <c r="H16" s="98">
        <v>5808</v>
      </c>
      <c r="I16" s="98">
        <v>5280</v>
      </c>
      <c r="J16" s="98">
        <v>8400</v>
      </c>
      <c r="K16" s="98">
        <v>6000</v>
      </c>
      <c r="L16" s="98">
        <v>9000</v>
      </c>
      <c r="M16" s="98">
        <v>6000</v>
      </c>
      <c r="N16" s="98">
        <v>7000</v>
      </c>
      <c r="O16" s="98">
        <v>8000</v>
      </c>
      <c r="P16" s="98">
        <v>11000</v>
      </c>
      <c r="Q16" s="98">
        <v>4500</v>
      </c>
      <c r="R16" s="74">
        <v>5000</v>
      </c>
      <c r="S16" s="86">
        <v>5500</v>
      </c>
    </row>
    <row r="17" spans="1:19" s="67" customFormat="1" ht="12.75">
      <c r="A17" s="71" t="s">
        <v>91</v>
      </c>
      <c r="B17" s="146">
        <f>(E17-F17)/F17</f>
        <v>1.0125</v>
      </c>
      <c r="C17" s="102">
        <f>E17-'[1]UK'!E17</f>
        <v>-370</v>
      </c>
      <c r="D17" s="98">
        <f>F17-'[1]UK'!F17</f>
        <v>-218</v>
      </c>
      <c r="E17" s="73">
        <v>322</v>
      </c>
      <c r="F17" s="98">
        <v>160</v>
      </c>
      <c r="G17" s="98">
        <v>94</v>
      </c>
      <c r="H17" s="98">
        <v>112</v>
      </c>
      <c r="I17" s="98"/>
      <c r="J17" s="98">
        <v>0</v>
      </c>
      <c r="K17" s="98">
        <v>0</v>
      </c>
      <c r="L17" s="98">
        <v>0</v>
      </c>
      <c r="M17" s="98">
        <v>0</v>
      </c>
      <c r="N17" s="98">
        <v>500</v>
      </c>
      <c r="O17" s="98">
        <v>0</v>
      </c>
      <c r="P17" s="98">
        <v>0</v>
      </c>
      <c r="Q17" s="98">
        <v>0</v>
      </c>
      <c r="R17" s="74">
        <v>0</v>
      </c>
      <c r="S17" s="86">
        <v>0</v>
      </c>
    </row>
    <row r="18" spans="1:19" s="67" customFormat="1" ht="13.5" thickBot="1">
      <c r="A18" s="75" t="s">
        <v>6</v>
      </c>
      <c r="B18" s="147">
        <f>(E18-F18)/F18</f>
        <v>1.6545454545454545</v>
      </c>
      <c r="C18" s="102">
        <f>E18-'[1]UK'!E18</f>
        <v>147</v>
      </c>
      <c r="D18" s="98">
        <f>F18-'[1]UK'!F18</f>
        <v>-5</v>
      </c>
      <c r="E18" s="73">
        <v>292</v>
      </c>
      <c r="F18" s="98">
        <v>110</v>
      </c>
      <c r="G18" s="98">
        <v>16</v>
      </c>
      <c r="H18" s="98">
        <v>13</v>
      </c>
      <c r="I18" s="99">
        <v>10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78">
        <v>0</v>
      </c>
      <c r="S18" s="87">
        <v>0</v>
      </c>
    </row>
    <row r="19" spans="1:19" s="67" customFormat="1" ht="13.5" thickBot="1">
      <c r="A19" s="79" t="s">
        <v>90</v>
      </c>
      <c r="B19" s="80">
        <f>(E19-F19)/F19</f>
        <v>0.2750879091154991</v>
      </c>
      <c r="C19" s="121">
        <f>E19-'[1]UK'!E19</f>
        <v>-1727</v>
      </c>
      <c r="D19" s="118">
        <f>F19-'[1]UK'!F19</f>
        <v>-1783</v>
      </c>
      <c r="E19" s="81">
        <f>SUM(E16:E18)</f>
        <v>4714</v>
      </c>
      <c r="F19" s="118">
        <f>SUM(F16:F18)</f>
        <v>3697</v>
      </c>
      <c r="G19" s="118">
        <f>SUM(G16:G18)</f>
        <v>5023</v>
      </c>
      <c r="H19" s="118">
        <f aca="true" t="shared" si="3" ref="H19:M19">SUM(H16:H18)</f>
        <v>5933</v>
      </c>
      <c r="I19" s="118">
        <f t="shared" si="3"/>
        <v>5290</v>
      </c>
      <c r="J19" s="118">
        <f t="shared" si="3"/>
        <v>8400</v>
      </c>
      <c r="K19" s="118">
        <f t="shared" si="3"/>
        <v>6000</v>
      </c>
      <c r="L19" s="118">
        <f t="shared" si="3"/>
        <v>9000</v>
      </c>
      <c r="M19" s="118">
        <f t="shared" si="3"/>
        <v>6000</v>
      </c>
      <c r="N19" s="118">
        <f aca="true" t="shared" si="4" ref="N19:S19">SUM(N16:N18)</f>
        <v>7500</v>
      </c>
      <c r="O19" s="118">
        <f t="shared" si="4"/>
        <v>8000</v>
      </c>
      <c r="P19" s="118">
        <f t="shared" si="4"/>
        <v>11000</v>
      </c>
      <c r="Q19" s="118">
        <f t="shared" si="4"/>
        <v>4500</v>
      </c>
      <c r="R19" s="82">
        <f t="shared" si="4"/>
        <v>5000</v>
      </c>
      <c r="S19" s="88">
        <f t="shared" si="4"/>
        <v>5500</v>
      </c>
    </row>
    <row r="20" spans="4:17" s="67" customFormat="1" ht="12.75">
      <c r="D20" s="127"/>
      <c r="E20" s="127"/>
      <c r="F20" s="127"/>
      <c r="G20" s="127"/>
      <c r="H20" s="127"/>
      <c r="J20" s="127"/>
      <c r="K20" s="127"/>
      <c r="L20" s="127"/>
      <c r="M20" s="127"/>
      <c r="N20" s="127"/>
      <c r="O20" s="127"/>
      <c r="P20" s="127"/>
      <c r="Q20" s="127"/>
    </row>
    <row r="21" spans="1:17" s="67" customFormat="1" ht="12.75">
      <c r="A21" s="70"/>
      <c r="D21" s="127"/>
      <c r="E21" s="127"/>
      <c r="F21" s="127"/>
      <c r="G21" s="127"/>
      <c r="H21" s="127"/>
      <c r="J21" s="127"/>
      <c r="K21" s="127"/>
      <c r="L21" s="127"/>
      <c r="M21" s="127"/>
      <c r="N21" s="127"/>
      <c r="O21" s="127"/>
      <c r="P21" s="127"/>
      <c r="Q21" s="127"/>
    </row>
    <row r="22" spans="4:17" s="67" customFormat="1" ht="12.75">
      <c r="D22" s="127"/>
      <c r="E22" s="127"/>
      <c r="F22" s="127"/>
      <c r="G22" s="127"/>
      <c r="H22" s="127"/>
      <c r="J22" s="127"/>
      <c r="K22" s="127"/>
      <c r="L22" s="127"/>
      <c r="M22" s="127"/>
      <c r="N22" s="127"/>
      <c r="O22" s="127"/>
      <c r="P22" s="127"/>
      <c r="Q22" s="127"/>
    </row>
    <row r="23" ht="12.75">
      <c r="I23" s="1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90" zoomScaleNormal="90" zoomScalePageLayoutView="0" workbookViewId="0" topLeftCell="A1">
      <selection activeCell="D34" sqref="D34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5" width="11.421875" style="0" customWidth="1"/>
    <col min="6" max="8" width="11.42187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27" t="s">
        <v>11</v>
      </c>
      <c r="B2" s="35">
        <f>(E2-F2)/F2</f>
        <v>-0.4312309420638742</v>
      </c>
      <c r="C2" s="64">
        <f>E2-'[1]US'!E2</f>
        <v>-1045</v>
      </c>
      <c r="D2" s="13">
        <f>F2-'[1]US'!F2</f>
        <v>-2211</v>
      </c>
      <c r="E2" s="148">
        <v>3544</v>
      </c>
      <c r="F2" s="13">
        <v>6231</v>
      </c>
      <c r="G2" s="13">
        <v>8728</v>
      </c>
      <c r="H2" s="13">
        <v>10176</v>
      </c>
      <c r="I2" s="13">
        <v>14559</v>
      </c>
      <c r="J2" s="13">
        <v>11129</v>
      </c>
      <c r="K2" s="13">
        <v>29137</v>
      </c>
      <c r="L2" s="13">
        <v>13587</v>
      </c>
      <c r="M2" s="13">
        <v>27117</v>
      </c>
      <c r="N2" s="13">
        <v>22582</v>
      </c>
      <c r="O2" s="13">
        <v>38264.97277676951</v>
      </c>
      <c r="P2" s="13">
        <v>33367.51361161524</v>
      </c>
      <c r="Q2" s="13">
        <v>41352.08711433757</v>
      </c>
      <c r="R2" s="13">
        <v>37350.2722323049</v>
      </c>
      <c r="S2" s="37">
        <v>34244.10163339383</v>
      </c>
    </row>
    <row r="3" spans="1:19" ht="12.75">
      <c r="A3" s="27" t="s">
        <v>32</v>
      </c>
      <c r="B3" s="35">
        <f aca="true" t="shared" si="0" ref="B3:B27">(E3-F3)/F3</f>
        <v>0.6214392803598201</v>
      </c>
      <c r="C3" s="64">
        <f>E3-'[1]US'!E3</f>
        <v>38</v>
      </c>
      <c r="D3" s="13">
        <f>F3-'[1]US'!F3</f>
        <v>-1639</v>
      </c>
      <c r="E3" s="148">
        <v>4326</v>
      </c>
      <c r="F3" s="13">
        <v>2668</v>
      </c>
      <c r="G3" s="13">
        <v>4059</v>
      </c>
      <c r="H3" s="13">
        <v>2839</v>
      </c>
      <c r="I3" s="13">
        <v>2249</v>
      </c>
      <c r="J3" s="13">
        <v>5660</v>
      </c>
      <c r="K3" s="13">
        <v>3544</v>
      </c>
      <c r="L3" s="13">
        <v>5755</v>
      </c>
      <c r="M3" s="13">
        <v>781</v>
      </c>
      <c r="N3" s="13">
        <v>2858</v>
      </c>
      <c r="O3" s="13">
        <v>3792.196007259528</v>
      </c>
      <c r="P3" s="13">
        <v>3563.5208711433756</v>
      </c>
      <c r="Q3" s="13">
        <v>4325.771324863884</v>
      </c>
      <c r="R3" s="13">
        <v>3849.3647912885663</v>
      </c>
      <c r="S3" s="37">
        <v>2667.8765880217784</v>
      </c>
    </row>
    <row r="4" spans="1:19" ht="12.75">
      <c r="A4" s="54" t="s">
        <v>167</v>
      </c>
      <c r="B4" s="35">
        <f t="shared" si="0"/>
        <v>24.833333333333332</v>
      </c>
      <c r="C4" s="64">
        <f>E4-'[1]US'!E4</f>
        <v>-4116</v>
      </c>
      <c r="D4" s="13">
        <f>F4-'[1]US'!F4</f>
        <v>-2573</v>
      </c>
      <c r="E4" s="148">
        <v>19685</v>
      </c>
      <c r="F4" s="13">
        <v>762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7"/>
    </row>
    <row r="5" spans="1:19" ht="12.75">
      <c r="A5" s="27" t="s">
        <v>48</v>
      </c>
      <c r="B5" s="35">
        <f t="shared" si="0"/>
        <v>0.858114674441205</v>
      </c>
      <c r="C5" s="64">
        <f>E5-'[1]US'!E5</f>
        <v>-2839</v>
      </c>
      <c r="D5" s="13">
        <f>F5-'[1]US'!F5</f>
        <v>-7680</v>
      </c>
      <c r="E5" s="148">
        <v>17208</v>
      </c>
      <c r="F5" s="13">
        <v>9261</v>
      </c>
      <c r="G5" s="13">
        <v>20619</v>
      </c>
      <c r="H5" s="13">
        <v>18142</v>
      </c>
      <c r="I5" s="13">
        <v>12558</v>
      </c>
      <c r="J5" s="13">
        <v>21438</v>
      </c>
      <c r="K5" s="13">
        <v>19152</v>
      </c>
      <c r="L5" s="13">
        <v>24964</v>
      </c>
      <c r="M5" s="13">
        <v>3068</v>
      </c>
      <c r="N5" s="13">
        <v>21781</v>
      </c>
      <c r="O5" s="13">
        <v>20047.186932849363</v>
      </c>
      <c r="P5" s="13">
        <v>28851.179673321236</v>
      </c>
      <c r="Q5" s="13">
        <v>22524.500907441015</v>
      </c>
      <c r="R5" s="13">
        <v>25535.390199637022</v>
      </c>
      <c r="S5" s="37">
        <v>29384.75499092559</v>
      </c>
    </row>
    <row r="6" spans="1:19" ht="12.75">
      <c r="A6" s="27" t="s">
        <v>12</v>
      </c>
      <c r="B6" s="35">
        <f t="shared" si="0"/>
        <v>0.009582577473658486</v>
      </c>
      <c r="C6" s="64">
        <f>E6-'[1]US'!E6</f>
        <v>-36969</v>
      </c>
      <c r="D6" s="13">
        <f>F6-'[1]US'!F6</f>
        <v>-28756</v>
      </c>
      <c r="E6" s="148">
        <v>214821</v>
      </c>
      <c r="F6" s="13">
        <v>212782</v>
      </c>
      <c r="G6" s="13">
        <v>192754</v>
      </c>
      <c r="H6" s="13">
        <v>201120</v>
      </c>
      <c r="I6" s="13">
        <v>177319</v>
      </c>
      <c r="J6" s="13">
        <v>152907</v>
      </c>
      <c r="K6" s="13">
        <v>183798</v>
      </c>
      <c r="L6" s="13">
        <v>148391</v>
      </c>
      <c r="M6" s="13">
        <v>231381</v>
      </c>
      <c r="N6" s="13">
        <v>138310</v>
      </c>
      <c r="O6" s="13">
        <v>164703.2667876588</v>
      </c>
      <c r="P6" s="13">
        <v>130859.34664246824</v>
      </c>
      <c r="Q6" s="13">
        <v>175736.84210526315</v>
      </c>
      <c r="R6" s="13">
        <v>114242.28675136116</v>
      </c>
      <c r="S6" s="37">
        <v>117367.51361161524</v>
      </c>
    </row>
    <row r="7" spans="1:19" ht="12.75">
      <c r="A7" s="27" t="s">
        <v>9</v>
      </c>
      <c r="B7" s="35">
        <f t="shared" si="0"/>
        <v>-0.18849879647039372</v>
      </c>
      <c r="C7" s="64">
        <f>E7-'[1]US'!E7</f>
        <v>-50118</v>
      </c>
      <c r="D7" s="13">
        <f>F7-'[1]US'!F7</f>
        <v>-66010</v>
      </c>
      <c r="E7" s="148">
        <v>289598</v>
      </c>
      <c r="F7" s="13">
        <v>356867</v>
      </c>
      <c r="G7" s="13">
        <v>294953</v>
      </c>
      <c r="H7" s="13">
        <v>337239</v>
      </c>
      <c r="I7" s="13">
        <v>306139</v>
      </c>
      <c r="J7" s="13">
        <v>233020</v>
      </c>
      <c r="K7" s="13">
        <v>304252</v>
      </c>
      <c r="L7" s="13">
        <v>234049</v>
      </c>
      <c r="M7" s="13">
        <v>229171</v>
      </c>
      <c r="N7" s="13">
        <v>207999</v>
      </c>
      <c r="O7" s="13">
        <v>181167.87658802178</v>
      </c>
      <c r="P7" s="13">
        <v>157347.5499092559</v>
      </c>
      <c r="Q7" s="13">
        <v>164989.11070780398</v>
      </c>
      <c r="R7" s="13">
        <v>138310.3448275862</v>
      </c>
      <c r="S7" s="37">
        <v>106753.17604355716</v>
      </c>
    </row>
    <row r="8" spans="1:19" ht="12.75">
      <c r="A8" s="27" t="s">
        <v>3</v>
      </c>
      <c r="B8" s="35">
        <f t="shared" si="0"/>
        <v>-0.4163849920179796</v>
      </c>
      <c r="C8" s="64">
        <f>E8-'[1]US'!E8</f>
        <v>-10310</v>
      </c>
      <c r="D8" s="13">
        <f>F8-'[1]US'!F8</f>
        <v>-15855</v>
      </c>
      <c r="E8" s="148">
        <v>65439</v>
      </c>
      <c r="F8" s="13">
        <v>112127</v>
      </c>
      <c r="G8" s="13">
        <v>68583</v>
      </c>
      <c r="H8" s="13">
        <v>111536</v>
      </c>
      <c r="I8" s="13">
        <v>100674</v>
      </c>
      <c r="J8" s="13">
        <v>114776</v>
      </c>
      <c r="K8" s="13">
        <v>175546</v>
      </c>
      <c r="L8" s="13">
        <v>144351</v>
      </c>
      <c r="M8" s="13">
        <v>166723</v>
      </c>
      <c r="N8" s="13">
        <v>147476</v>
      </c>
      <c r="O8" s="13">
        <v>155441.92377495463</v>
      </c>
      <c r="P8" s="13">
        <v>148715.06352087113</v>
      </c>
      <c r="Q8" s="13">
        <v>197480.03629764065</v>
      </c>
      <c r="R8" s="13">
        <v>149610.70780399273</v>
      </c>
      <c r="S8" s="37">
        <v>121102.54083484574</v>
      </c>
    </row>
    <row r="9" spans="1:19" ht="12.75">
      <c r="A9" s="27" t="s">
        <v>17</v>
      </c>
      <c r="B9" s="35">
        <f t="shared" si="0"/>
        <v>-0.21162527680361912</v>
      </c>
      <c r="C9" s="64">
        <f>E9-'[1]US'!E9</f>
        <v>-22867</v>
      </c>
      <c r="D9" s="13">
        <f>F9-'[1]US'!F9</f>
        <v>-30700</v>
      </c>
      <c r="E9" s="148">
        <v>165904</v>
      </c>
      <c r="F9" s="13">
        <v>210438</v>
      </c>
      <c r="G9" s="13">
        <v>161997</v>
      </c>
      <c r="H9" s="13">
        <v>258593</v>
      </c>
      <c r="I9" s="13">
        <v>159939</v>
      </c>
      <c r="J9" s="13">
        <v>207789</v>
      </c>
      <c r="K9" s="13">
        <v>198719</v>
      </c>
      <c r="L9" s="13">
        <v>190944</v>
      </c>
      <c r="M9" s="13">
        <v>148848</v>
      </c>
      <c r="N9" s="13">
        <v>147953</v>
      </c>
      <c r="O9" s="13">
        <v>151039.9274047187</v>
      </c>
      <c r="P9" s="13">
        <v>126171.50635208712</v>
      </c>
      <c r="Q9" s="13">
        <v>202682.39564428313</v>
      </c>
      <c r="R9" s="13">
        <v>134956.44283121597</v>
      </c>
      <c r="S9" s="37">
        <v>157461.88747731398</v>
      </c>
    </row>
    <row r="10" spans="1:19" ht="12.75">
      <c r="A10" s="27" t="s">
        <v>157</v>
      </c>
      <c r="B10" s="35">
        <f t="shared" si="0"/>
        <v>0.06668936728336676</v>
      </c>
      <c r="C10" s="64">
        <f>E10-'[1]US'!E10</f>
        <v>-29461</v>
      </c>
      <c r="D10" s="13">
        <f>F10-'[1]US'!F10</f>
        <v>-38094</v>
      </c>
      <c r="E10" s="148">
        <v>169162</v>
      </c>
      <c r="F10" s="13">
        <v>158586</v>
      </c>
      <c r="G10" s="13">
        <v>124666</v>
      </c>
      <c r="H10" s="13">
        <v>109612</v>
      </c>
      <c r="I10" s="13">
        <v>60504</v>
      </c>
      <c r="J10" s="13">
        <v>56044</v>
      </c>
      <c r="K10" s="13">
        <v>33672</v>
      </c>
      <c r="L10" s="13">
        <v>19609</v>
      </c>
      <c r="M10" s="13"/>
      <c r="N10" s="13"/>
      <c r="O10" s="13"/>
      <c r="P10" s="13"/>
      <c r="Q10" s="13"/>
      <c r="R10" s="13"/>
      <c r="S10" s="37"/>
    </row>
    <row r="11" spans="1:19" ht="12.75">
      <c r="A11" s="28" t="s">
        <v>10</v>
      </c>
      <c r="B11" s="35">
        <f t="shared" si="0"/>
        <v>0.2460215053763441</v>
      </c>
      <c r="C11" s="64">
        <f>E11-'[1]US'!E11</f>
        <v>-1070</v>
      </c>
      <c r="D11" s="13">
        <f>F11-'[1]US'!F11</f>
        <v>-495</v>
      </c>
      <c r="E11" s="148">
        <v>2897</v>
      </c>
      <c r="F11" s="13">
        <v>2325</v>
      </c>
      <c r="G11" s="13">
        <v>1658</v>
      </c>
      <c r="H11" s="13">
        <v>2115</v>
      </c>
      <c r="I11" s="111">
        <v>3525</v>
      </c>
      <c r="J11" s="111">
        <v>3887</v>
      </c>
      <c r="K11" s="111">
        <v>4974</v>
      </c>
      <c r="L11" s="111">
        <v>7985</v>
      </c>
      <c r="M11" s="111">
        <v>915</v>
      </c>
      <c r="N11" s="111">
        <v>6231</v>
      </c>
      <c r="O11" s="111">
        <v>2229.582577132486</v>
      </c>
      <c r="P11" s="111">
        <v>6002.722323049002</v>
      </c>
      <c r="Q11" s="111">
        <v>6098.003629764065</v>
      </c>
      <c r="R11" s="13">
        <v>4706.896551724138</v>
      </c>
      <c r="S11" s="37">
        <v>5030.852994555354</v>
      </c>
    </row>
    <row r="12" spans="1:19" ht="12.75">
      <c r="A12" s="28" t="s">
        <v>26</v>
      </c>
      <c r="B12" s="35"/>
      <c r="C12" s="64">
        <f>E12-'[1]US'!E12</f>
        <v>0</v>
      </c>
      <c r="D12" s="13">
        <f>F12-'[1]US'!F12</f>
        <v>0</v>
      </c>
      <c r="E12" s="148"/>
      <c r="F12" s="13"/>
      <c r="G12" s="13">
        <v>8823</v>
      </c>
      <c r="H12" s="13">
        <v>7813</v>
      </c>
      <c r="I12" s="111">
        <v>10805</v>
      </c>
      <c r="J12" s="111">
        <v>8975</v>
      </c>
      <c r="K12" s="111">
        <v>18446</v>
      </c>
      <c r="L12" s="111">
        <v>17093</v>
      </c>
      <c r="M12" s="111">
        <v>9052</v>
      </c>
      <c r="N12" s="111">
        <v>11358</v>
      </c>
      <c r="O12" s="111">
        <v>11205.08166969147</v>
      </c>
      <c r="P12" s="111">
        <v>13549.001814882033</v>
      </c>
      <c r="Q12" s="111">
        <v>13549.001814882033</v>
      </c>
      <c r="R12" s="13">
        <v>6841.197822141561</v>
      </c>
      <c r="S12" s="37">
        <v>9547.186932849365</v>
      </c>
    </row>
    <row r="13" spans="1:19" ht="12.75">
      <c r="A13" s="28" t="s">
        <v>49</v>
      </c>
      <c r="B13" s="35">
        <f t="shared" si="0"/>
        <v>0</v>
      </c>
      <c r="C13" s="64">
        <f>E13-'[1]US'!E13</f>
        <v>-343</v>
      </c>
      <c r="D13" s="13">
        <f>F13-'[1]US'!F13</f>
        <v>-514</v>
      </c>
      <c r="E13" s="148">
        <v>1315</v>
      </c>
      <c r="F13" s="13">
        <v>1315</v>
      </c>
      <c r="G13" s="13">
        <v>2172</v>
      </c>
      <c r="H13" s="13">
        <v>305</v>
      </c>
      <c r="I13" s="111">
        <v>3182</v>
      </c>
      <c r="J13" s="111">
        <v>3849</v>
      </c>
      <c r="K13" s="111">
        <v>3602</v>
      </c>
      <c r="L13" s="111">
        <v>5450</v>
      </c>
      <c r="M13" s="111">
        <v>19</v>
      </c>
      <c r="N13" s="111">
        <v>6364.791288566244</v>
      </c>
      <c r="O13" s="111">
        <v>2134.301270417423</v>
      </c>
      <c r="P13" s="111">
        <v>10500</v>
      </c>
      <c r="Q13" s="111">
        <v>3563.5208711433756</v>
      </c>
      <c r="R13" s="13">
        <v>2324.86388384755</v>
      </c>
      <c r="S13" s="37">
        <v>3392.014519056261</v>
      </c>
    </row>
    <row r="14" spans="1:19" ht="12.75">
      <c r="A14" s="28" t="s">
        <v>50</v>
      </c>
      <c r="B14" s="35">
        <f t="shared" si="0"/>
        <v>-0.2561009174311927</v>
      </c>
      <c r="C14" s="64">
        <f>E14-'[1]US'!E14</f>
        <v>-5660</v>
      </c>
      <c r="D14" s="13">
        <f>F14-'[1]US'!F14</f>
        <v>-6956</v>
      </c>
      <c r="E14" s="148">
        <v>16217</v>
      </c>
      <c r="F14" s="13">
        <v>21800</v>
      </c>
      <c r="G14" s="13">
        <v>25593</v>
      </c>
      <c r="H14" s="13">
        <v>24792</v>
      </c>
      <c r="I14" s="111">
        <v>17113</v>
      </c>
      <c r="J14" s="111">
        <v>34987</v>
      </c>
      <c r="K14" s="111">
        <v>30280</v>
      </c>
      <c r="L14" s="111">
        <v>32967</v>
      </c>
      <c r="M14" s="111">
        <v>10462</v>
      </c>
      <c r="N14" s="111">
        <v>20371</v>
      </c>
      <c r="O14" s="111">
        <v>19780.399274047188</v>
      </c>
      <c r="P14" s="111">
        <v>37617.05989110708</v>
      </c>
      <c r="Q14" s="111">
        <v>27212.34119782214</v>
      </c>
      <c r="R14" s="13">
        <v>25687.840290381126</v>
      </c>
      <c r="S14" s="37">
        <v>23229.582577132485</v>
      </c>
    </row>
    <row r="15" spans="1:19" ht="12.75">
      <c r="A15" s="28" t="s">
        <v>51</v>
      </c>
      <c r="B15" s="35">
        <f t="shared" si="0"/>
        <v>-0.2402938090241343</v>
      </c>
      <c r="C15" s="64">
        <f>E15-'[1]US'!E15</f>
        <v>-76</v>
      </c>
      <c r="D15" s="13">
        <f>F15-'[1]US'!F15</f>
        <v>-400</v>
      </c>
      <c r="E15" s="148">
        <v>724</v>
      </c>
      <c r="F15" s="13">
        <v>953</v>
      </c>
      <c r="G15" s="13">
        <v>1582</v>
      </c>
      <c r="H15" s="13">
        <v>1753</v>
      </c>
      <c r="I15" s="111">
        <v>1220</v>
      </c>
      <c r="J15" s="111">
        <v>953</v>
      </c>
      <c r="K15" s="111">
        <v>1105</v>
      </c>
      <c r="L15" s="111">
        <v>1696</v>
      </c>
      <c r="M15" s="111">
        <v>1201</v>
      </c>
      <c r="N15" s="111">
        <v>2420</v>
      </c>
      <c r="O15" s="111">
        <v>2667.8765880217784</v>
      </c>
      <c r="P15" s="111">
        <v>2820.3266787658804</v>
      </c>
      <c r="Q15" s="111">
        <v>3582.5771324863886</v>
      </c>
      <c r="R15" s="13">
        <v>4497.277676950998</v>
      </c>
      <c r="S15" s="37">
        <v>2953.720508166969</v>
      </c>
    </row>
    <row r="16" spans="1:19" ht="12.75">
      <c r="A16" s="28" t="s">
        <v>52</v>
      </c>
      <c r="B16" s="35">
        <f t="shared" si="0"/>
        <v>0.7397260273972602</v>
      </c>
      <c r="C16" s="64">
        <f>E16-'[1]US'!E16</f>
        <v>-76</v>
      </c>
      <c r="D16" s="13">
        <f>F16-'[1]US'!F16</f>
        <v>-267</v>
      </c>
      <c r="E16" s="148">
        <v>762</v>
      </c>
      <c r="F16" s="13">
        <v>438</v>
      </c>
      <c r="G16" s="13">
        <v>572</v>
      </c>
      <c r="H16" s="13">
        <v>0</v>
      </c>
      <c r="I16" s="111">
        <v>0</v>
      </c>
      <c r="J16" s="111">
        <v>0</v>
      </c>
      <c r="K16" s="111">
        <v>0</v>
      </c>
      <c r="L16" s="111">
        <v>610</v>
      </c>
      <c r="M16" s="111">
        <v>991</v>
      </c>
      <c r="N16" s="111">
        <v>990.9255898366606</v>
      </c>
      <c r="O16" s="111">
        <v>1295.8257713248638</v>
      </c>
      <c r="P16" s="111">
        <v>2000.907441016334</v>
      </c>
      <c r="Q16" s="111">
        <v>2496.3702359346644</v>
      </c>
      <c r="R16" s="13">
        <v>190.56261343012704</v>
      </c>
      <c r="S16" s="37">
        <v>171.50635208711435</v>
      </c>
    </row>
    <row r="17" spans="1:19" ht="12.75">
      <c r="A17" s="28" t="s">
        <v>53</v>
      </c>
      <c r="B17" s="35"/>
      <c r="C17" s="64">
        <f>E17-'[1]US'!E17</f>
        <v>0</v>
      </c>
      <c r="D17" s="13">
        <f>F17-'[1]US'!F17</f>
        <v>0</v>
      </c>
      <c r="E17" s="148"/>
      <c r="F17" s="13"/>
      <c r="G17" s="13">
        <v>0</v>
      </c>
      <c r="H17" s="13">
        <v>0</v>
      </c>
      <c r="I17" s="111">
        <v>76</v>
      </c>
      <c r="J17" s="111">
        <v>0</v>
      </c>
      <c r="K17" s="111">
        <v>0</v>
      </c>
      <c r="L17" s="111">
        <v>324</v>
      </c>
      <c r="M17" s="111">
        <v>19</v>
      </c>
      <c r="N17" s="111">
        <v>0</v>
      </c>
      <c r="O17" s="111">
        <v>0</v>
      </c>
      <c r="P17" s="111">
        <v>57.168784029038115</v>
      </c>
      <c r="Q17" s="111">
        <v>0</v>
      </c>
      <c r="R17" s="13">
        <v>57.168784029038115</v>
      </c>
      <c r="S17" s="37">
        <v>57.168784029038115</v>
      </c>
    </row>
    <row r="18" spans="1:19" ht="12.75">
      <c r="A18" s="29" t="s">
        <v>60</v>
      </c>
      <c r="B18" s="35">
        <f t="shared" si="0"/>
        <v>0.14470946430460696</v>
      </c>
      <c r="C18" s="64">
        <f>E18-'[1]US'!E18</f>
        <v>-8747</v>
      </c>
      <c r="D18" s="13">
        <f>F18-'[1]US'!F18</f>
        <v>-15760</v>
      </c>
      <c r="E18" s="148">
        <v>97377</v>
      </c>
      <c r="F18" s="13">
        <v>85067</v>
      </c>
      <c r="G18" s="13">
        <v>78321</v>
      </c>
      <c r="H18" s="13">
        <v>78645</v>
      </c>
      <c r="I18" s="13">
        <v>83733</v>
      </c>
      <c r="J18" s="13">
        <v>71309</v>
      </c>
      <c r="K18" s="13">
        <v>53300</v>
      </c>
      <c r="L18" s="13">
        <v>45411</v>
      </c>
      <c r="M18" s="13">
        <v>46516</v>
      </c>
      <c r="N18" s="13">
        <v>36206.89655172414</v>
      </c>
      <c r="O18" s="13">
        <v>42076.22504537205</v>
      </c>
      <c r="P18" s="13">
        <v>43981.85117967332</v>
      </c>
      <c r="Q18" s="13">
        <v>34186.93284936479</v>
      </c>
      <c r="R18" s="13">
        <v>34053.539019963704</v>
      </c>
      <c r="S18" s="37">
        <v>23229.582577132485</v>
      </c>
    </row>
    <row r="19" spans="1:19" ht="12.75">
      <c r="A19" s="28" t="s">
        <v>19</v>
      </c>
      <c r="B19" s="35">
        <f t="shared" si="0"/>
        <v>-0.17376273454035027</v>
      </c>
      <c r="C19" s="64">
        <f>E19-'[1]US'!E19</f>
        <v>-32129</v>
      </c>
      <c r="D19" s="13">
        <f>F19-'[1]US'!F19</f>
        <v>-61285</v>
      </c>
      <c r="E19" s="148">
        <v>301375</v>
      </c>
      <c r="F19" s="13">
        <v>364756</v>
      </c>
      <c r="G19" s="13">
        <v>411368</v>
      </c>
      <c r="H19" s="13">
        <v>460895</v>
      </c>
      <c r="I19" s="111">
        <v>537501</v>
      </c>
      <c r="J19" s="111">
        <v>409729</v>
      </c>
      <c r="K19" s="111">
        <v>644407</v>
      </c>
      <c r="L19" s="111">
        <v>478941</v>
      </c>
      <c r="M19" s="111">
        <v>517187</v>
      </c>
      <c r="N19" s="111">
        <v>476921</v>
      </c>
      <c r="O19" s="111">
        <v>409747.73139745917</v>
      </c>
      <c r="P19" s="111">
        <v>487649.7277676951</v>
      </c>
      <c r="Q19" s="111">
        <v>478007.2595281307</v>
      </c>
      <c r="R19" s="13">
        <v>405593.4664246824</v>
      </c>
      <c r="S19" s="37">
        <v>466516.33393829403</v>
      </c>
    </row>
    <row r="20" spans="1:19" ht="12.75">
      <c r="A20" s="28" t="s">
        <v>54</v>
      </c>
      <c r="B20" s="35">
        <f t="shared" si="0"/>
        <v>-0.16494557633268211</v>
      </c>
      <c r="C20" s="64">
        <f>E20-'[1]US'!E20</f>
        <v>-400</v>
      </c>
      <c r="D20" s="13">
        <f>F20-'[1]US'!F20</f>
        <v>-686</v>
      </c>
      <c r="E20" s="148">
        <v>2992</v>
      </c>
      <c r="F20" s="13">
        <v>3583</v>
      </c>
      <c r="G20" s="13">
        <v>4421</v>
      </c>
      <c r="H20" s="13">
        <v>4745</v>
      </c>
      <c r="I20" s="111">
        <v>9490</v>
      </c>
      <c r="J20" s="111">
        <v>4821</v>
      </c>
      <c r="K20" s="111">
        <v>6898</v>
      </c>
      <c r="L20" s="111">
        <v>6651</v>
      </c>
      <c r="M20" s="111">
        <v>3449</v>
      </c>
      <c r="N20" s="111">
        <v>8423</v>
      </c>
      <c r="O20" s="111">
        <v>4611.615245009074</v>
      </c>
      <c r="P20" s="111">
        <v>5869.328493647913</v>
      </c>
      <c r="Q20" s="111">
        <v>8480.036297640654</v>
      </c>
      <c r="R20" s="13">
        <v>7279.491833030853</v>
      </c>
      <c r="S20" s="37">
        <v>8613.430127041742</v>
      </c>
    </row>
    <row r="21" spans="1:19" ht="12.75">
      <c r="A21" s="28" t="s">
        <v>55</v>
      </c>
      <c r="B21" s="35">
        <f t="shared" si="0"/>
        <v>-0.48721399730820997</v>
      </c>
      <c r="C21" s="64">
        <f>E21-'[1]US'!E21</f>
        <v>-19</v>
      </c>
      <c r="D21" s="13">
        <f>F21-'[1]US'!F21</f>
        <v>-134</v>
      </c>
      <c r="E21" s="148">
        <v>381</v>
      </c>
      <c r="F21" s="13">
        <v>743</v>
      </c>
      <c r="G21" s="13">
        <v>381</v>
      </c>
      <c r="H21" s="13">
        <v>1124</v>
      </c>
      <c r="I21" s="111">
        <v>2573</v>
      </c>
      <c r="J21" s="111">
        <v>2935</v>
      </c>
      <c r="K21" s="111">
        <v>2554</v>
      </c>
      <c r="L21" s="111">
        <v>7565</v>
      </c>
      <c r="M21" s="111">
        <v>534</v>
      </c>
      <c r="N21" s="111">
        <v>4859</v>
      </c>
      <c r="O21" s="111">
        <v>3144.2831215970964</v>
      </c>
      <c r="P21" s="111">
        <v>4478.221415607985</v>
      </c>
      <c r="Q21" s="111">
        <v>8232.304900181489</v>
      </c>
      <c r="R21" s="13">
        <v>5373.865698729583</v>
      </c>
      <c r="S21" s="37">
        <v>9451.905626134301</v>
      </c>
    </row>
    <row r="22" spans="1:19" ht="12.75">
      <c r="A22" s="28" t="s">
        <v>34</v>
      </c>
      <c r="B22" s="35">
        <f t="shared" si="0"/>
        <v>1.17255297679112</v>
      </c>
      <c r="C22" s="64">
        <f>E22-'[1]US'!E22</f>
        <v>-115</v>
      </c>
      <c r="D22" s="13">
        <f>F22-'[1]US'!F22</f>
        <v>-724</v>
      </c>
      <c r="E22" s="148">
        <v>2153</v>
      </c>
      <c r="F22" s="13">
        <v>991</v>
      </c>
      <c r="G22" s="13">
        <v>1944</v>
      </c>
      <c r="H22" s="13">
        <v>2420</v>
      </c>
      <c r="I22" s="111">
        <v>1067</v>
      </c>
      <c r="J22" s="111">
        <v>2839</v>
      </c>
      <c r="K22" s="111">
        <v>2496</v>
      </c>
      <c r="L22" s="111">
        <v>2134</v>
      </c>
      <c r="M22" s="111">
        <v>591</v>
      </c>
      <c r="N22" s="111">
        <v>2725</v>
      </c>
      <c r="O22" s="111">
        <v>2629.764065335753</v>
      </c>
      <c r="P22" s="111">
        <v>3201.4519056261342</v>
      </c>
      <c r="Q22" s="111">
        <v>2286.7513611615245</v>
      </c>
      <c r="R22" s="13">
        <v>2801.2704174228675</v>
      </c>
      <c r="S22" s="37">
        <v>3830.3085299455533</v>
      </c>
    </row>
    <row r="23" spans="1:19" ht="12.75">
      <c r="A23" s="28" t="s">
        <v>21</v>
      </c>
      <c r="B23" s="35">
        <f t="shared" si="0"/>
        <v>0.13157894736842105</v>
      </c>
      <c r="C23" s="64">
        <f>E23-'[1]US'!E23</f>
        <v>0</v>
      </c>
      <c r="D23" s="13">
        <f>F23-'[1]US'!F23</f>
        <v>-363</v>
      </c>
      <c r="E23" s="148">
        <v>172</v>
      </c>
      <c r="F23" s="13">
        <v>152</v>
      </c>
      <c r="G23" s="13">
        <v>400</v>
      </c>
      <c r="H23" s="13">
        <v>457</v>
      </c>
      <c r="I23" s="111">
        <v>191</v>
      </c>
      <c r="J23" s="111">
        <v>495</v>
      </c>
      <c r="K23" s="111">
        <v>762</v>
      </c>
      <c r="L23" s="111">
        <v>572</v>
      </c>
      <c r="M23" s="111">
        <v>381</v>
      </c>
      <c r="N23" s="111">
        <v>666.9691470054446</v>
      </c>
      <c r="O23" s="111">
        <v>743.1941923774955</v>
      </c>
      <c r="P23" s="111">
        <v>990.9255898366606</v>
      </c>
      <c r="Q23" s="111">
        <v>952.8130671506352</v>
      </c>
      <c r="R23" s="13">
        <v>876.5880217785844</v>
      </c>
      <c r="S23" s="37">
        <v>1410.1633393829402</v>
      </c>
    </row>
    <row r="24" spans="1:19" ht="12.75">
      <c r="A24" s="28" t="s">
        <v>56</v>
      </c>
      <c r="B24" s="35"/>
      <c r="C24" s="64">
        <f>E24-'[1]US'!E24</f>
        <v>0</v>
      </c>
      <c r="D24" s="13">
        <f>F24-'[1]US'!F24</f>
        <v>0</v>
      </c>
      <c r="E24" s="148"/>
      <c r="F24" s="13"/>
      <c r="G24" s="13">
        <v>0</v>
      </c>
      <c r="H24" s="13">
        <v>0</v>
      </c>
      <c r="I24" s="111">
        <v>0</v>
      </c>
      <c r="J24" s="111">
        <v>0</v>
      </c>
      <c r="K24" s="111">
        <v>0</v>
      </c>
      <c r="L24" s="111">
        <v>38</v>
      </c>
      <c r="M24" s="111">
        <v>0</v>
      </c>
      <c r="N24" s="111">
        <v>0</v>
      </c>
      <c r="O24" s="111">
        <v>0</v>
      </c>
      <c r="P24" s="111">
        <v>0</v>
      </c>
      <c r="Q24" s="111">
        <v>95.28130671506352</v>
      </c>
      <c r="R24" s="13">
        <v>76.22504537205081</v>
      </c>
      <c r="S24" s="37">
        <v>171.50635208711435</v>
      </c>
    </row>
    <row r="25" spans="1:19" ht="12.75">
      <c r="A25" s="28" t="s">
        <v>57</v>
      </c>
      <c r="B25" s="35">
        <f t="shared" si="0"/>
        <v>2.493449781659389</v>
      </c>
      <c r="C25" s="64">
        <f>E25-'[1]US'!E25</f>
        <v>-19</v>
      </c>
      <c r="D25" s="13">
        <f>F25-'[1]US'!F25</f>
        <v>-705</v>
      </c>
      <c r="E25" s="148">
        <v>800</v>
      </c>
      <c r="F25" s="13">
        <v>229</v>
      </c>
      <c r="G25" s="13">
        <v>629</v>
      </c>
      <c r="H25" s="13">
        <v>38</v>
      </c>
      <c r="I25" s="111">
        <v>152</v>
      </c>
      <c r="J25" s="111">
        <v>172</v>
      </c>
      <c r="K25" s="111">
        <v>191</v>
      </c>
      <c r="L25" s="111">
        <v>229</v>
      </c>
      <c r="M25" s="111">
        <v>152</v>
      </c>
      <c r="N25" s="111">
        <v>343</v>
      </c>
      <c r="O25" s="111">
        <v>419.2377495462795</v>
      </c>
      <c r="P25" s="111">
        <v>590.7441016333938</v>
      </c>
      <c r="Q25" s="111">
        <v>533.5753176043557</v>
      </c>
      <c r="R25" s="13">
        <v>438.2940108892922</v>
      </c>
      <c r="S25" s="37">
        <v>266.7876588021779</v>
      </c>
    </row>
    <row r="26" spans="1:19" ht="13.5" thickBot="1">
      <c r="A26" s="28" t="s">
        <v>58</v>
      </c>
      <c r="B26" s="35">
        <f t="shared" si="0"/>
        <v>-0.08989391401451703</v>
      </c>
      <c r="C26" s="64">
        <f>E26-'[1]US'!E26</f>
        <v>-24449</v>
      </c>
      <c r="D26" s="13">
        <f>F26-'[1]US'!F26</f>
        <v>-22011</v>
      </c>
      <c r="E26" s="148">
        <f>93414+19056</f>
        <v>112470</v>
      </c>
      <c r="F26" s="13">
        <f>104828+18751</f>
        <v>123579</v>
      </c>
      <c r="G26" s="13">
        <f>72738+12996</f>
        <v>85734</v>
      </c>
      <c r="H26" s="13">
        <v>81275</v>
      </c>
      <c r="I26" s="111">
        <v>127715</v>
      </c>
      <c r="J26" s="111">
        <v>101170</v>
      </c>
      <c r="K26" s="111">
        <v>94881</v>
      </c>
      <c r="L26" s="111">
        <v>69841</v>
      </c>
      <c r="M26" s="111">
        <v>43334</v>
      </c>
      <c r="N26" s="111">
        <v>38341</v>
      </c>
      <c r="O26" s="111">
        <v>36702.35934664247</v>
      </c>
      <c r="P26" s="111">
        <v>36835.75317604356</v>
      </c>
      <c r="Q26" s="111">
        <v>34339.382940108895</v>
      </c>
      <c r="R26" s="13">
        <v>27250.45372050817</v>
      </c>
      <c r="S26" s="37">
        <v>29918.330308529945</v>
      </c>
    </row>
    <row r="27" spans="1:19" ht="13.5" thickBot="1">
      <c r="A27" s="195" t="s">
        <v>22</v>
      </c>
      <c r="B27" s="140">
        <f t="shared" si="0"/>
        <v>-0.11119903703213016</v>
      </c>
      <c r="C27" s="90">
        <f>E27-'[1]US'!E27</f>
        <v>-230790</v>
      </c>
      <c r="D27" s="125">
        <f>F27-'[1]US'!F27</f>
        <v>-303818</v>
      </c>
      <c r="E27" s="59">
        <f>SUM(E2:E26)</f>
        <v>1489322</v>
      </c>
      <c r="F27" s="125">
        <f>SUM(F2:F26)</f>
        <v>1675653</v>
      </c>
      <c r="G27" s="125">
        <f>SUM(G2:G26)</f>
        <v>1499957</v>
      </c>
      <c r="H27" s="125">
        <f aca="true" t="shared" si="1" ref="H27:M27">SUM(H2:H26)</f>
        <v>1715634</v>
      </c>
      <c r="I27" s="125">
        <f t="shared" si="1"/>
        <v>1632284</v>
      </c>
      <c r="J27" s="125">
        <f t="shared" si="1"/>
        <v>1448884</v>
      </c>
      <c r="K27" s="125">
        <f t="shared" si="1"/>
        <v>1811716</v>
      </c>
      <c r="L27" s="125">
        <f t="shared" si="1"/>
        <v>1459157</v>
      </c>
      <c r="M27" s="125">
        <f t="shared" si="1"/>
        <v>1441892</v>
      </c>
      <c r="N27" s="125">
        <f aca="true" t="shared" si="2" ref="N27:S27">SUM(N2:N26)</f>
        <v>1305180.5825771324</v>
      </c>
      <c r="O27" s="125">
        <f t="shared" si="2"/>
        <v>1253844.8275862068</v>
      </c>
      <c r="P27" s="125">
        <f t="shared" si="2"/>
        <v>1285020.8711433755</v>
      </c>
      <c r="Q27" s="125">
        <f t="shared" si="2"/>
        <v>1432706.896551724</v>
      </c>
      <c r="R27" s="125">
        <f t="shared" si="2"/>
        <v>1131903.8112522687</v>
      </c>
      <c r="S27" s="196">
        <f t="shared" si="2"/>
        <v>1156772.2323049002</v>
      </c>
    </row>
    <row r="28" spans="2:17" s="9" customFormat="1" ht="12.75">
      <c r="B28" s="44"/>
      <c r="C28" s="44"/>
      <c r="D28" s="44"/>
      <c r="E28" s="44"/>
      <c r="F28" s="44"/>
      <c r="G28" s="44"/>
      <c r="H28" s="44"/>
      <c r="I28" s="44"/>
      <c r="J28" s="12"/>
      <c r="K28" s="12"/>
      <c r="L28" s="12"/>
      <c r="M28" s="12"/>
      <c r="N28" s="12"/>
      <c r="O28" s="12"/>
      <c r="P28" s="12"/>
      <c r="Q28" s="12"/>
    </row>
    <row r="29" spans="2:17" s="9" customFormat="1" ht="13.5" thickBot="1">
      <c r="B29" s="44"/>
      <c r="C29" s="44"/>
      <c r="D29" s="44"/>
      <c r="E29" s="44"/>
      <c r="F29" s="44"/>
      <c r="G29" s="44"/>
      <c r="H29" s="44"/>
      <c r="I29" s="44"/>
      <c r="J29" s="12"/>
      <c r="K29" s="12"/>
      <c r="L29" s="12"/>
      <c r="M29" s="12"/>
      <c r="N29" s="12"/>
      <c r="O29" s="12"/>
      <c r="P29" s="12"/>
      <c r="Q29" s="12"/>
    </row>
    <row r="30" spans="1:19" s="16" customFormat="1" ht="13.5" thickBot="1">
      <c r="A30" s="31" t="s">
        <v>24</v>
      </c>
      <c r="B30" s="32" t="s">
        <v>172</v>
      </c>
      <c r="C30" s="63" t="s">
        <v>173</v>
      </c>
      <c r="D30" s="110" t="s">
        <v>166</v>
      </c>
      <c r="E30" s="161">
        <v>44228</v>
      </c>
      <c r="F30" s="113">
        <v>43862</v>
      </c>
      <c r="G30" s="113">
        <v>43497</v>
      </c>
      <c r="H30" s="113">
        <v>43132</v>
      </c>
      <c r="I30" s="33">
        <v>42767</v>
      </c>
      <c r="J30" s="33">
        <v>42401</v>
      </c>
      <c r="K30" s="33">
        <f>K1</f>
        <v>42036</v>
      </c>
      <c r="L30" s="33">
        <v>41671</v>
      </c>
      <c r="M30" s="33">
        <v>41306</v>
      </c>
      <c r="N30" s="33">
        <v>40940</v>
      </c>
      <c r="O30" s="33">
        <v>40575</v>
      </c>
      <c r="P30" s="33">
        <v>40210</v>
      </c>
      <c r="Q30" s="33">
        <v>39845</v>
      </c>
      <c r="R30" s="33">
        <v>39479</v>
      </c>
      <c r="S30" s="34">
        <v>39114</v>
      </c>
    </row>
    <row r="31" spans="1:19" ht="12.75">
      <c r="A31" s="27" t="s">
        <v>40</v>
      </c>
      <c r="B31" s="35">
        <f aca="true" t="shared" si="3" ref="B31:B41">(E31-F31)/F31</f>
        <v>-0.05969591123895618</v>
      </c>
      <c r="C31" s="64">
        <f>E31-'[1]US'!E31</f>
        <v>-23779.119999999995</v>
      </c>
      <c r="D31" s="13">
        <f>F31-'[1]US'!F31</f>
        <v>-24933.399999999994</v>
      </c>
      <c r="E31" s="148">
        <v>86952.74</v>
      </c>
      <c r="F31" s="13">
        <v>92473</v>
      </c>
      <c r="G31" s="13">
        <v>103770</v>
      </c>
      <c r="H31" s="13">
        <v>102013</v>
      </c>
      <c r="I31" s="13">
        <v>83380</v>
      </c>
      <c r="J31" s="13">
        <v>86824.34</v>
      </c>
      <c r="K31" s="13">
        <v>107454.66</v>
      </c>
      <c r="L31" s="13">
        <v>107303.92</v>
      </c>
      <c r="M31" s="13">
        <v>94017.46</v>
      </c>
      <c r="N31" s="13">
        <v>115007.56</v>
      </c>
      <c r="O31" s="13">
        <v>95362.62</v>
      </c>
      <c r="P31" s="13">
        <v>107091.28</v>
      </c>
      <c r="Q31" s="13">
        <v>78777.36</v>
      </c>
      <c r="R31" s="13">
        <v>88973.12</v>
      </c>
      <c r="S31" s="37">
        <v>73291.38</v>
      </c>
    </row>
    <row r="32" spans="1:19" ht="12.75">
      <c r="A32" s="27" t="s">
        <v>41</v>
      </c>
      <c r="B32" s="35">
        <f t="shared" si="3"/>
        <v>0.5122438491216132</v>
      </c>
      <c r="C32" s="64">
        <f>E32-'[1]US'!E32</f>
        <v>-9596.260000000002</v>
      </c>
      <c r="D32" s="13">
        <f>F32-'[1]US'!F32</f>
        <v>-7768.5599999999995</v>
      </c>
      <c r="E32" s="148">
        <v>20891.8</v>
      </c>
      <c r="F32" s="13">
        <v>13815.1</v>
      </c>
      <c r="G32" s="13">
        <v>30129</v>
      </c>
      <c r="H32" s="13">
        <v>20334</v>
      </c>
      <c r="I32" s="13">
        <v>27644</v>
      </c>
      <c r="J32" s="13">
        <v>24982.44</v>
      </c>
      <c r="K32" s="13">
        <v>20369.42</v>
      </c>
      <c r="L32" s="13">
        <v>25601</v>
      </c>
      <c r="M32" s="13">
        <v>16576.74</v>
      </c>
      <c r="N32" s="13">
        <v>32878.04</v>
      </c>
      <c r="O32" s="13">
        <v>12127.42</v>
      </c>
      <c r="P32" s="13">
        <v>18839.4</v>
      </c>
      <c r="Q32" s="13">
        <v>23516.6</v>
      </c>
      <c r="R32" s="13">
        <v>13846.96</v>
      </c>
      <c r="S32" s="37">
        <v>23320.82</v>
      </c>
    </row>
    <row r="33" spans="1:19" ht="12.75">
      <c r="A33" s="27" t="s">
        <v>42</v>
      </c>
      <c r="B33" s="35">
        <f t="shared" si="3"/>
        <v>-0.1898051118551914</v>
      </c>
      <c r="C33" s="64">
        <f>E33-'[1]US'!E33</f>
        <v>-3286.26</v>
      </c>
      <c r="D33" s="13">
        <f>F33-'[1]US'!F33</f>
        <v>-3531.3600000000006</v>
      </c>
      <c r="E33" s="148">
        <v>9107.66</v>
      </c>
      <c r="F33" s="13">
        <v>11241.32</v>
      </c>
      <c r="G33" s="13">
        <v>10203</v>
      </c>
      <c r="H33" s="13">
        <v>10525</v>
      </c>
      <c r="I33" s="13">
        <v>9724</v>
      </c>
      <c r="J33" s="13">
        <v>6391.02</v>
      </c>
      <c r="K33" s="13">
        <v>10735.42</v>
      </c>
      <c r="L33" s="13">
        <v>9118</v>
      </c>
      <c r="M33" s="13">
        <v>7593.84</v>
      </c>
      <c r="N33" s="13">
        <v>8973.12</v>
      </c>
      <c r="O33" s="13">
        <v>7175.76</v>
      </c>
      <c r="P33" s="13">
        <v>8134.24</v>
      </c>
      <c r="Q33" s="13">
        <v>8425.82</v>
      </c>
      <c r="R33" s="13">
        <v>8444.94</v>
      </c>
      <c r="S33" s="37">
        <v>7524.98</v>
      </c>
    </row>
    <row r="34" spans="1:19" ht="12.75">
      <c r="A34" s="27" t="s">
        <v>43</v>
      </c>
      <c r="B34" s="35">
        <f t="shared" si="3"/>
        <v>-0.9690637164515469</v>
      </c>
      <c r="C34" s="64">
        <f>E34-'[1]US'!E34</f>
        <v>-208.42</v>
      </c>
      <c r="D34" s="13">
        <f>F34-'[1]US'!F34</f>
        <v>-519.9399999999999</v>
      </c>
      <c r="E34" s="148">
        <v>12.08</v>
      </c>
      <c r="F34" s="13">
        <v>390.48</v>
      </c>
      <c r="G34" s="13">
        <v>624</v>
      </c>
      <c r="H34" s="13">
        <v>270</v>
      </c>
      <c r="I34" s="13">
        <v>555</v>
      </c>
      <c r="J34" s="13">
        <v>105.64</v>
      </c>
      <c r="K34" s="13">
        <v>406.68</v>
      </c>
      <c r="L34" s="13">
        <v>1106.48</v>
      </c>
      <c r="M34" s="13">
        <v>381.86</v>
      </c>
      <c r="N34" s="13">
        <v>1414.44</v>
      </c>
      <c r="O34" s="13">
        <v>168.22</v>
      </c>
      <c r="P34" s="13">
        <v>840.26</v>
      </c>
      <c r="Q34" s="13">
        <v>823.44</v>
      </c>
      <c r="R34" s="13">
        <v>494.66</v>
      </c>
      <c r="S34" s="37">
        <v>1103.32</v>
      </c>
    </row>
    <row r="35" spans="1:19" ht="12.75">
      <c r="A35" s="27" t="s">
        <v>147</v>
      </c>
      <c r="B35" s="35"/>
      <c r="C35" s="64">
        <f>E35-'[1]US'!E35</f>
        <v>-38.32000000000001</v>
      </c>
      <c r="D35" s="13">
        <f>F35-'[1]US'!F35</f>
        <v>-46.96</v>
      </c>
      <c r="E35" s="148">
        <v>38.16</v>
      </c>
      <c r="F35" s="13">
        <v>0</v>
      </c>
      <c r="G35" s="13">
        <v>54</v>
      </c>
      <c r="H35" s="13">
        <v>79</v>
      </c>
      <c r="I35" s="13">
        <v>3</v>
      </c>
      <c r="J35" s="13">
        <v>2.7</v>
      </c>
      <c r="K35" s="13">
        <v>0</v>
      </c>
      <c r="L35" s="13">
        <v>36.38</v>
      </c>
      <c r="M35" s="13">
        <v>39.72</v>
      </c>
      <c r="N35" s="13">
        <v>406.86</v>
      </c>
      <c r="O35" s="13">
        <v>112.08</v>
      </c>
      <c r="P35" s="13"/>
      <c r="Q35" s="13"/>
      <c r="R35" s="13"/>
      <c r="S35" s="37"/>
    </row>
    <row r="36" spans="1:19" ht="12.75">
      <c r="A36" s="27" t="s">
        <v>44</v>
      </c>
      <c r="B36" s="35">
        <f t="shared" si="3"/>
        <v>4.1840642371834464</v>
      </c>
      <c r="C36" s="64">
        <f>E36-'[1]US'!E36</f>
        <v>-97.44</v>
      </c>
      <c r="D36" s="13">
        <f>F36-'[1]US'!F36</f>
        <v>-117.52000000000001</v>
      </c>
      <c r="E36" s="148">
        <v>167.86</v>
      </c>
      <c r="F36" s="13">
        <v>32.38</v>
      </c>
      <c r="G36" s="13">
        <v>129</v>
      </c>
      <c r="H36" s="13">
        <v>125</v>
      </c>
      <c r="I36" s="13">
        <v>212</v>
      </c>
      <c r="J36" s="13">
        <v>0.32</v>
      </c>
      <c r="K36" s="13">
        <v>56.6</v>
      </c>
      <c r="L36" s="13">
        <v>170.32</v>
      </c>
      <c r="M36" s="13">
        <v>130.42</v>
      </c>
      <c r="N36" s="13">
        <v>272.58</v>
      </c>
      <c r="O36" s="13">
        <v>5.6</v>
      </c>
      <c r="P36" s="13">
        <v>111.92</v>
      </c>
      <c r="Q36" s="13">
        <v>151.12</v>
      </c>
      <c r="R36" s="13">
        <v>39.1</v>
      </c>
      <c r="S36" s="37">
        <v>185.24</v>
      </c>
    </row>
    <row r="37" spans="1:19" ht="12.75">
      <c r="A37" s="27" t="s">
        <v>162</v>
      </c>
      <c r="B37" s="35">
        <f t="shared" si="3"/>
        <v>-0.6764181764181765</v>
      </c>
      <c r="C37" s="64">
        <f>E37-'[1]US'!E37</f>
        <v>-216.86</v>
      </c>
      <c r="D37" s="13">
        <f>F37-'[1]US'!F37</f>
        <v>-220.86</v>
      </c>
      <c r="E37" s="148">
        <v>43.58</v>
      </c>
      <c r="F37" s="13">
        <v>134.68</v>
      </c>
      <c r="G37" s="13">
        <v>188</v>
      </c>
      <c r="H37" s="13">
        <v>5</v>
      </c>
      <c r="I37" s="13">
        <v>120</v>
      </c>
      <c r="J37" s="13">
        <v>0.58</v>
      </c>
      <c r="K37" s="13"/>
      <c r="L37" s="13"/>
      <c r="M37" s="13"/>
      <c r="N37" s="13"/>
      <c r="O37" s="13"/>
      <c r="P37" s="13"/>
      <c r="Q37" s="13"/>
      <c r="R37" s="13"/>
      <c r="S37" s="37"/>
    </row>
    <row r="38" spans="1:19" ht="12.75">
      <c r="A38" s="27" t="s">
        <v>45</v>
      </c>
      <c r="B38" s="142"/>
      <c r="C38" s="175">
        <f>E38-'[1]US'!E38</f>
        <v>0</v>
      </c>
      <c r="D38" s="13">
        <f>F38-'[1]US'!F38</f>
        <v>0</v>
      </c>
      <c r="E38" s="148"/>
      <c r="F38" s="13"/>
      <c r="G38" s="13">
        <v>0</v>
      </c>
      <c r="H38" s="13">
        <v>0</v>
      </c>
      <c r="I38" s="13">
        <v>0</v>
      </c>
      <c r="J38" s="93">
        <v>0</v>
      </c>
      <c r="K38" s="93">
        <v>0</v>
      </c>
      <c r="L38" s="93">
        <v>0</v>
      </c>
      <c r="M38" s="13">
        <v>78.24</v>
      </c>
      <c r="N38" s="13">
        <v>93.46</v>
      </c>
      <c r="O38" s="13">
        <v>5.96</v>
      </c>
      <c r="P38" s="13">
        <v>34.66</v>
      </c>
      <c r="Q38" s="13">
        <v>94.24</v>
      </c>
      <c r="R38" s="13">
        <v>36</v>
      </c>
      <c r="S38" s="37">
        <v>124.52</v>
      </c>
    </row>
    <row r="39" spans="1:19" ht="12.75">
      <c r="A39" s="27" t="s">
        <v>47</v>
      </c>
      <c r="B39" s="35">
        <f t="shared" si="3"/>
        <v>-0.07099143206854346</v>
      </c>
      <c r="C39" s="64">
        <f>E39-'[1]US'!E39</f>
        <v>-122.50000000000001</v>
      </c>
      <c r="D39" s="13">
        <f>F39-'[1]US'!F39</f>
        <v>-55.46</v>
      </c>
      <c r="E39" s="148">
        <v>30.36</v>
      </c>
      <c r="F39" s="13">
        <v>32.68</v>
      </c>
      <c r="G39" s="13">
        <v>200</v>
      </c>
      <c r="H39" s="13">
        <v>91</v>
      </c>
      <c r="I39" s="13">
        <v>65</v>
      </c>
      <c r="J39" s="13">
        <v>111.24</v>
      </c>
      <c r="K39" s="13">
        <v>375.9</v>
      </c>
      <c r="L39" s="13">
        <v>104.54</v>
      </c>
      <c r="M39" s="13">
        <v>492.82</v>
      </c>
      <c r="N39" s="13">
        <v>86.22</v>
      </c>
      <c r="O39" s="13">
        <v>212.98</v>
      </c>
      <c r="P39" s="13">
        <v>104.78</v>
      </c>
      <c r="Q39" s="13">
        <v>671.66</v>
      </c>
      <c r="R39" s="13">
        <v>415.12</v>
      </c>
      <c r="S39" s="37">
        <v>901.68</v>
      </c>
    </row>
    <row r="40" spans="1:19" ht="13.5" thickBot="1">
      <c r="A40" s="38" t="s">
        <v>46</v>
      </c>
      <c r="B40" s="36">
        <f t="shared" si="3"/>
        <v>1.5860552807519182</v>
      </c>
      <c r="C40" s="65">
        <f>E40-'[1]US'!E40</f>
        <v>-14379.8</v>
      </c>
      <c r="D40" s="15">
        <f>F40-'[1]US'!F40</f>
        <v>-9997.199999999999</v>
      </c>
      <c r="E40" s="162">
        <v>7434.34</v>
      </c>
      <c r="F40" s="15">
        <v>2874.78</v>
      </c>
      <c r="G40" s="15">
        <v>4573</v>
      </c>
      <c r="H40" s="15">
        <v>4228</v>
      </c>
      <c r="I40" s="112">
        <v>6938</v>
      </c>
      <c r="J40" s="15">
        <v>1488.58</v>
      </c>
      <c r="K40" s="15">
        <v>3581.4</v>
      </c>
      <c r="L40" s="15">
        <v>4937.2</v>
      </c>
      <c r="M40" s="15">
        <v>4019.18</v>
      </c>
      <c r="N40" s="15">
        <v>3179.86</v>
      </c>
      <c r="O40" s="15">
        <v>389.24</v>
      </c>
      <c r="P40" s="15">
        <v>124</v>
      </c>
      <c r="Q40" s="15">
        <v>385</v>
      </c>
      <c r="R40" s="15">
        <v>276.2</v>
      </c>
      <c r="S40" s="39">
        <v>653.22</v>
      </c>
    </row>
    <row r="41" spans="1:19" ht="13.5" thickBot="1">
      <c r="A41" s="40" t="s">
        <v>22</v>
      </c>
      <c r="B41" s="41">
        <f t="shared" si="3"/>
        <v>0.03044900748315516</v>
      </c>
      <c r="C41" s="66">
        <f>E41-'[1]US'!E41</f>
        <v>-51724.97999999998</v>
      </c>
      <c r="D41" s="42">
        <f>F41-'[1]US'!F41</f>
        <v>-47191.260000000024</v>
      </c>
      <c r="E41" s="138">
        <f>SUM(E31:E40)</f>
        <v>124678.58000000002</v>
      </c>
      <c r="F41" s="42">
        <f>SUM(F31:F40)</f>
        <v>120994.42</v>
      </c>
      <c r="G41" s="42">
        <f>SUM(G31:G40)</f>
        <v>149870</v>
      </c>
      <c r="H41" s="42">
        <f aca="true" t="shared" si="4" ref="H41:M41">SUM(H31:H40)</f>
        <v>137670</v>
      </c>
      <c r="I41" s="42">
        <f t="shared" si="4"/>
        <v>128641</v>
      </c>
      <c r="J41" s="42">
        <f t="shared" si="4"/>
        <v>119906.86000000002</v>
      </c>
      <c r="K41" s="42">
        <f t="shared" si="4"/>
        <v>142980.08</v>
      </c>
      <c r="L41" s="42">
        <f t="shared" si="4"/>
        <v>148377.84000000003</v>
      </c>
      <c r="M41" s="42">
        <f t="shared" si="4"/>
        <v>123330.28000000001</v>
      </c>
      <c r="N41" s="42">
        <f aca="true" t="shared" si="5" ref="N41:S41">SUM(N31:N40)</f>
        <v>162312.13999999996</v>
      </c>
      <c r="O41" s="42">
        <f t="shared" si="5"/>
        <v>115559.88</v>
      </c>
      <c r="P41" s="42">
        <f t="shared" si="5"/>
        <v>135280.54</v>
      </c>
      <c r="Q41" s="42">
        <f t="shared" si="5"/>
        <v>112845.24</v>
      </c>
      <c r="R41" s="42">
        <f t="shared" si="5"/>
        <v>112526.09999999999</v>
      </c>
      <c r="S41" s="130">
        <f t="shared" si="5"/>
        <v>107105.16000000002</v>
      </c>
    </row>
    <row r="48" spans="18:20" ht="18">
      <c r="R48" s="5"/>
      <c r="S48" s="1"/>
      <c r="T48" s="1"/>
    </row>
    <row r="49" spans="18:20" ht="18">
      <c r="R49" s="5"/>
      <c r="S49" s="1"/>
      <c r="T49" s="1"/>
    </row>
    <row r="50" spans="18:20" ht="18">
      <c r="R50" s="5"/>
      <c r="S50" s="1"/>
      <c r="T50" s="1"/>
    </row>
    <row r="51" spans="18:20" ht="18">
      <c r="R51" s="5"/>
      <c r="S51" s="1"/>
      <c r="T51" s="1"/>
    </row>
    <row r="52" spans="18:20" ht="18">
      <c r="R52" s="5"/>
      <c r="S52" s="1"/>
      <c r="T52" s="1"/>
    </row>
    <row r="53" spans="18:20" ht="18">
      <c r="R53" s="5"/>
      <c r="S53" s="1"/>
      <c r="T53" s="1"/>
    </row>
    <row r="54" spans="18:20" ht="18">
      <c r="R54" s="5"/>
      <c r="S54" s="1"/>
      <c r="T54" s="1"/>
    </row>
    <row r="55" spans="18:20" ht="18">
      <c r="R55" s="5"/>
      <c r="S55" s="1"/>
      <c r="T55" s="1"/>
    </row>
    <row r="56" spans="18:20" ht="18">
      <c r="R56" s="5"/>
      <c r="S56" s="1"/>
      <c r="T56" s="1"/>
    </row>
    <row r="57" spans="18:20" ht="18">
      <c r="R57" s="5"/>
      <c r="S57" s="1"/>
      <c r="T57" s="1"/>
    </row>
    <row r="58" spans="18:20" ht="18">
      <c r="R58" s="6"/>
      <c r="S58" s="1"/>
      <c r="T58" s="1"/>
    </row>
    <row r="59" spans="18:20" ht="18">
      <c r="R59" s="7"/>
      <c r="S59" s="2"/>
      <c r="T59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421875" style="16" bestFit="1" customWidth="1"/>
    <col min="4" max="5" width="11.7109375" style="16" customWidth="1"/>
    <col min="6" max="8" width="11.7109375" style="12" customWidth="1"/>
    <col min="9" max="9" width="10.7109375" style="16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113">
        <v>42401</v>
      </c>
      <c r="K1" s="113">
        <v>42036</v>
      </c>
      <c r="L1" s="113">
        <v>41671</v>
      </c>
      <c r="M1" s="113">
        <v>41306</v>
      </c>
      <c r="N1" s="113">
        <v>40940</v>
      </c>
      <c r="O1" s="113">
        <v>40575</v>
      </c>
      <c r="P1" s="113">
        <v>40210</v>
      </c>
      <c r="Q1" s="113">
        <v>39845</v>
      </c>
      <c r="R1" s="33">
        <v>39479</v>
      </c>
      <c r="S1" s="49">
        <v>39114</v>
      </c>
    </row>
    <row r="2" spans="1:21" ht="12.75">
      <c r="A2" s="27" t="s">
        <v>8</v>
      </c>
      <c r="B2" s="35">
        <f>(E2-F2)/F2</f>
        <v>0.024418226306062343</v>
      </c>
      <c r="C2" s="64">
        <f>E2-'[1]EU - country'!E2</f>
        <v>-8187.149999999994</v>
      </c>
      <c r="D2" s="13">
        <f>F2-'[1]EU - country'!F2</f>
        <v>-9753</v>
      </c>
      <c r="E2" s="148">
        <f>Austria!E$21</f>
        <v>78710.15</v>
      </c>
      <c r="F2" s="13">
        <f>Austria!F$21</f>
        <v>76834</v>
      </c>
      <c r="G2" s="13">
        <f>Austria!G$21</f>
        <v>96753.37</v>
      </c>
      <c r="H2" s="13">
        <f>Austria!H$21</f>
        <v>47026</v>
      </c>
      <c r="I2" s="13">
        <f>Austria!I$21</f>
        <v>23640.26</v>
      </c>
      <c r="J2" s="13">
        <f>Austria!J$21</f>
        <v>106837.11</v>
      </c>
      <c r="K2" s="13">
        <f>Austria!K$21</f>
        <v>110264</v>
      </c>
      <c r="L2" s="13">
        <f>Austria!L$21</f>
        <v>103019.49</v>
      </c>
      <c r="M2" s="13">
        <f>Austria!M$21</f>
        <v>88339</v>
      </c>
      <c r="N2" s="13">
        <f>Austria!N$21</f>
        <v>125509</v>
      </c>
      <c r="O2" s="13">
        <f>Austria!O$21</f>
        <v>119136</v>
      </c>
      <c r="P2" s="13">
        <f>Austria!P$21</f>
        <v>118629</v>
      </c>
      <c r="Q2" s="13">
        <f>Austria!Q$21</f>
        <v>104743</v>
      </c>
      <c r="R2" s="13">
        <f>Austria!R$21</f>
        <v>100734</v>
      </c>
      <c r="S2" s="46">
        <f>Austria!S$21</f>
        <v>90932</v>
      </c>
      <c r="U2" s="3"/>
    </row>
    <row r="3" spans="1:19" ht="12.75">
      <c r="A3" s="27" t="s">
        <v>0</v>
      </c>
      <c r="B3" s="35">
        <f aca="true" t="shared" si="0" ref="B3:B15">(E3-F3)/F3</f>
        <v>-0.3359426210041324</v>
      </c>
      <c r="C3" s="64">
        <f>E3-'[1]EU - country'!E3</f>
        <v>-9261</v>
      </c>
      <c r="D3" s="13">
        <f>F3-'[1]EU - country'!F3</f>
        <v>-14968</v>
      </c>
      <c r="E3" s="148">
        <f>Belgium!E$10</f>
        <v>69902</v>
      </c>
      <c r="F3" s="13">
        <f>Belgium!F$10</f>
        <v>105265</v>
      </c>
      <c r="G3" s="13">
        <f>Belgium!G$10</f>
        <v>115918</v>
      </c>
      <c r="H3" s="13">
        <f>Belgium!H$10</f>
        <v>15979</v>
      </c>
      <c r="I3" s="13">
        <f>Belgium!I$10</f>
        <v>73472</v>
      </c>
      <c r="J3" s="13">
        <f>Belgium!J$10</f>
        <v>131094</v>
      </c>
      <c r="K3" s="13">
        <f>Belgium!K$10</f>
        <v>149006</v>
      </c>
      <c r="L3" s="13">
        <f>Belgium!L$10</f>
        <v>90778</v>
      </c>
      <c r="M3" s="13">
        <f>Belgium!M$10</f>
        <v>81870</v>
      </c>
      <c r="N3" s="13">
        <f>Belgium!N$10</f>
        <v>96830</v>
      </c>
      <c r="O3" s="13">
        <f>Belgium!O$10</f>
        <v>92353.19439277978</v>
      </c>
      <c r="P3" s="13">
        <f>Belgium!P$10</f>
        <v>130408</v>
      </c>
      <c r="Q3" s="13">
        <f>Belgium!Q$10</f>
        <v>168200</v>
      </c>
      <c r="R3" s="13">
        <f>Belgium!R$10</f>
        <v>155500</v>
      </c>
      <c r="S3" s="46">
        <f>Belgium!S$10</f>
        <v>155100</v>
      </c>
    </row>
    <row r="4" spans="1:21" ht="12.75">
      <c r="A4" s="27" t="s">
        <v>30</v>
      </c>
      <c r="B4" s="35">
        <f t="shared" si="0"/>
        <v>0.573850599133169</v>
      </c>
      <c r="C4" s="64">
        <f>E4-'[1]EU - country'!E4</f>
        <v>-9207</v>
      </c>
      <c r="D4" s="13">
        <f>F4-'[1]EU - country'!F4</f>
        <v>-8235</v>
      </c>
      <c r="E4" s="148">
        <f>'Czech Republic'!E$12</f>
        <v>37039</v>
      </c>
      <c r="F4" s="13">
        <f>'Czech Republic'!F$12</f>
        <v>23534</v>
      </c>
      <c r="G4" s="13">
        <f>'Czech Republic'!G$12</f>
        <v>45277</v>
      </c>
      <c r="H4" s="13">
        <f>'Czech Republic'!H$12</f>
        <v>26064</v>
      </c>
      <c r="I4" s="13">
        <f>'Czech Republic'!I$12</f>
        <v>25108</v>
      </c>
      <c r="J4" s="13">
        <f>'Czech Republic'!J$12</f>
        <v>37102</v>
      </c>
      <c r="K4" s="13">
        <f>'Czech Republic'!K$12</f>
        <v>29683</v>
      </c>
      <c r="L4" s="13">
        <f>'Czech Republic'!L$12</f>
        <v>25339</v>
      </c>
      <c r="M4" s="13">
        <f>'Czech Republic'!M$12</f>
        <v>25001</v>
      </c>
      <c r="N4" s="13">
        <f>'Czech Republic'!N$12</f>
        <v>16572</v>
      </c>
      <c r="O4" s="13">
        <f>'Czech Republic'!O$12</f>
        <v>20016</v>
      </c>
      <c r="P4" s="13">
        <f>'Czech Republic'!P$12</f>
        <v>29818</v>
      </c>
      <c r="Q4" s="13">
        <f>'Czech Republic'!Q$12</f>
        <v>32841</v>
      </c>
      <c r="R4" s="13">
        <f>'Czech Republic'!R$12</f>
        <v>18699</v>
      </c>
      <c r="S4" s="46">
        <f>'Czech Republic'!S$12</f>
        <v>25311</v>
      </c>
      <c r="U4" s="3"/>
    </row>
    <row r="5" spans="1:21" ht="12.75">
      <c r="A5" s="27" t="s">
        <v>39</v>
      </c>
      <c r="B5" s="35">
        <f t="shared" si="0"/>
        <v>0.07104677060133631</v>
      </c>
      <c r="C5" s="64">
        <f>E5-'[1]EU - country'!E5</f>
        <v>-1866</v>
      </c>
      <c r="D5" s="13">
        <f>F5-'[1]EU - country'!F5</f>
        <v>-1916</v>
      </c>
      <c r="E5" s="148">
        <f>Denmark!E$20</f>
        <v>4809</v>
      </c>
      <c r="F5" s="13">
        <f>Denmark!F$20</f>
        <v>4490</v>
      </c>
      <c r="G5" s="13">
        <f>Denmark!G$20</f>
        <v>9727</v>
      </c>
      <c r="H5" s="13">
        <f>Denmark!H$20</f>
        <v>3759</v>
      </c>
      <c r="I5" s="13">
        <f>Denmark!I$20</f>
        <v>8367</v>
      </c>
      <c r="J5" s="13">
        <f>Denmark!J$20</f>
        <v>7491</v>
      </c>
      <c r="K5" s="13">
        <f>Denmark!K$20</f>
        <v>6093</v>
      </c>
      <c r="L5" s="13">
        <f>Denmark!L$20</f>
        <v>5634</v>
      </c>
      <c r="M5" s="13">
        <f>Denmark!M$20</f>
        <v>4040</v>
      </c>
      <c r="N5" s="13">
        <f>Denmark!N$20</f>
        <v>4436</v>
      </c>
      <c r="O5" s="13">
        <f>Denmark!O$20</f>
        <v>3782</v>
      </c>
      <c r="P5" s="13">
        <f>Denmark!P$20</f>
        <v>5406</v>
      </c>
      <c r="Q5" s="13">
        <f>Denmark!Q$20</f>
        <v>5562</v>
      </c>
      <c r="R5" s="13">
        <f>Denmark!R$20</f>
        <v>3892</v>
      </c>
      <c r="S5" s="46">
        <f>Denmark!S$20</f>
        <v>2888</v>
      </c>
      <c r="U5" s="3"/>
    </row>
    <row r="6" spans="1:21" ht="13.5" customHeight="1">
      <c r="A6" s="54" t="s">
        <v>131</v>
      </c>
      <c r="B6" s="35">
        <f t="shared" si="0"/>
        <v>-0.13520538382867275</v>
      </c>
      <c r="C6" s="64">
        <f>E6-'[1]EU - country'!E6</f>
        <v>-91648</v>
      </c>
      <c r="D6" s="13">
        <f>F6-'[1]EU - country'!F6</f>
        <v>-117785</v>
      </c>
      <c r="E6" s="148">
        <f>France!E$26</f>
        <v>479443</v>
      </c>
      <c r="F6" s="13">
        <f>France!F$26</f>
        <v>554401</v>
      </c>
      <c r="G6" s="13">
        <f>France!G$26</f>
        <v>468368</v>
      </c>
      <c r="H6" s="13">
        <f>France!H$26</f>
        <v>457446</v>
      </c>
      <c r="I6" s="93">
        <f>France!I$26</f>
        <v>468092</v>
      </c>
      <c r="J6" s="93">
        <f>France!J$26</f>
        <v>480183</v>
      </c>
      <c r="K6" s="93">
        <f>France!K$26</f>
        <v>431513</v>
      </c>
      <c r="L6" s="93">
        <f>France!L$26</f>
        <v>542997</v>
      </c>
      <c r="M6" s="93">
        <f>France!M$26</f>
        <v>298285</v>
      </c>
      <c r="N6" s="93">
        <f>France!N$26</f>
        <v>455954</v>
      </c>
      <c r="O6" s="93">
        <f>France!O$26</f>
        <v>484852</v>
      </c>
      <c r="P6" s="93">
        <f>France!P$26</f>
        <v>505923</v>
      </c>
      <c r="Q6" s="136"/>
      <c r="R6" s="136"/>
      <c r="S6" s="105"/>
      <c r="U6" s="3"/>
    </row>
    <row r="7" spans="1:21" ht="12.75">
      <c r="A7" s="27" t="s">
        <v>27</v>
      </c>
      <c r="B7" s="35">
        <f t="shared" si="0"/>
        <v>0.18079884181359718</v>
      </c>
      <c r="C7" s="64">
        <f>E7-'[1]EU - country'!E7</f>
        <v>-50394</v>
      </c>
      <c r="D7" s="13">
        <f>F7-'[1]EU - country'!F7</f>
        <v>-86220</v>
      </c>
      <c r="E7" s="148">
        <f>Germany!E$21</f>
        <v>246317</v>
      </c>
      <c r="F7" s="13">
        <f>Germany!F$21</f>
        <v>208602</v>
      </c>
      <c r="G7" s="13">
        <f>Germany!G$21</f>
        <v>307169</v>
      </c>
      <c r="H7" s="13">
        <f>Germany!H$21</f>
        <v>150237</v>
      </c>
      <c r="I7" s="13">
        <f>Germany!I$21</f>
        <v>292737</v>
      </c>
      <c r="J7" s="13">
        <f>Germany!J$21</f>
        <v>281846</v>
      </c>
      <c r="K7" s="13">
        <f>Germany!K$21</f>
        <v>300526</v>
      </c>
      <c r="L7" s="13">
        <f>Germany!L$21</f>
        <v>227420</v>
      </c>
      <c r="M7" s="13">
        <f>Germany!M$21</f>
        <v>271321</v>
      </c>
      <c r="N7" s="13">
        <f>Germany!N$21</f>
        <v>287934</v>
      </c>
      <c r="O7" s="13">
        <f>Germany!O$21</f>
        <v>223253</v>
      </c>
      <c r="P7" s="13">
        <f>Germany!P$21</f>
        <v>299997</v>
      </c>
      <c r="Q7" s="13">
        <f>Germany!Q$21</f>
        <v>258603</v>
      </c>
      <c r="R7" s="13">
        <f>Germany!R$21</f>
        <v>230179</v>
      </c>
      <c r="S7" s="46">
        <f>Germany!S$21</f>
        <v>231906</v>
      </c>
      <c r="U7" s="3"/>
    </row>
    <row r="8" spans="1:19" ht="12.75">
      <c r="A8" s="27" t="s">
        <v>16</v>
      </c>
      <c r="B8" s="35">
        <f t="shared" si="0"/>
        <v>0.03446553553889378</v>
      </c>
      <c r="C8" s="64">
        <f>E8-'[1]EU - country'!E8</f>
        <v>-185902.8200000003</v>
      </c>
      <c r="D8" s="13">
        <f>F8-'[1]EU - country'!F8</f>
        <v>-195993</v>
      </c>
      <c r="E8" s="148">
        <f>Italy!E$20</f>
        <v>1020569.5599999998</v>
      </c>
      <c r="F8" s="13">
        <f>Italy!F$20</f>
        <v>986567</v>
      </c>
      <c r="G8" s="13">
        <f>Italy!G$20</f>
        <v>1132788</v>
      </c>
      <c r="H8" s="13">
        <f>Italy!H$20</f>
        <v>681663</v>
      </c>
      <c r="I8" s="13">
        <f>Italy!I$20</f>
        <v>1137766.795</v>
      </c>
      <c r="J8" s="13">
        <f>Italy!J$20</f>
        <v>1121493.059</v>
      </c>
      <c r="K8" s="13">
        <f>Italy!K$20</f>
        <v>1186513</v>
      </c>
      <c r="L8" s="13">
        <f>Italy!L$20</f>
        <v>1018236</v>
      </c>
      <c r="M8" s="13">
        <f>Italy!M$20</f>
        <v>870359.9999999998</v>
      </c>
      <c r="N8" s="13">
        <f>Italy!N$20</f>
        <v>1046225.9999999999</v>
      </c>
      <c r="O8" s="13">
        <f>Italy!O$20</f>
        <v>1030234</v>
      </c>
      <c r="P8" s="13">
        <f>Italy!P$20</f>
        <v>1066063</v>
      </c>
      <c r="Q8" s="13">
        <f>Italy!Q$20</f>
        <v>1044596</v>
      </c>
      <c r="R8" s="13">
        <f>Italy!R$20</f>
        <v>917272</v>
      </c>
      <c r="S8" s="46">
        <f>Italy!S$20</f>
        <v>932503</v>
      </c>
    </row>
    <row r="9" spans="1:21" ht="12.75">
      <c r="A9" s="54" t="s">
        <v>31</v>
      </c>
      <c r="B9" s="35">
        <f t="shared" si="0"/>
        <v>0.6798107255520505</v>
      </c>
      <c r="C9" s="64">
        <f>E9-'[1]EU - country'!E9</f>
        <v>-300000</v>
      </c>
      <c r="D9" s="13">
        <f>F9-'[1]EU - country'!F9</f>
        <v>-201000</v>
      </c>
      <c r="E9" s="148">
        <f>Poland!E$18</f>
        <v>1065000</v>
      </c>
      <c r="F9" s="13">
        <f>Poland!F$18</f>
        <v>634000</v>
      </c>
      <c r="G9" s="13">
        <f>Poland!G$18</f>
        <v>1215000</v>
      </c>
      <c r="H9" s="13">
        <f>Poland!H$18</f>
        <v>660000</v>
      </c>
      <c r="I9" s="93">
        <f>Poland!I$18</f>
        <v>1026000</v>
      </c>
      <c r="J9" s="93">
        <f>Poland!J$18</f>
        <v>1070000</v>
      </c>
      <c r="K9" s="93">
        <f>Poland!K$18</f>
        <v>1016000</v>
      </c>
      <c r="L9" s="93">
        <f>Poland!L$18</f>
        <v>877500</v>
      </c>
      <c r="M9" s="93">
        <f>Poland!M$18</f>
        <v>819000</v>
      </c>
      <c r="N9" s="93">
        <f>Poland!N$18</f>
        <v>803000</v>
      </c>
      <c r="O9" s="93">
        <f>Poland!O$18</f>
        <v>370000</v>
      </c>
      <c r="P9" s="93">
        <f>Poland!P$18</f>
        <v>460000</v>
      </c>
      <c r="Q9" s="93">
        <f>Poland!Q$18</f>
        <v>430000</v>
      </c>
      <c r="R9" s="93">
        <f>Poland!R$18</f>
        <v>200000</v>
      </c>
      <c r="S9" s="95">
        <f>Poland!S$18</f>
        <v>290000</v>
      </c>
      <c r="U9" s="3"/>
    </row>
    <row r="10" spans="1:21" ht="12.75">
      <c r="A10" s="54" t="s">
        <v>151</v>
      </c>
      <c r="B10" s="142"/>
      <c r="C10" s="175">
        <f>E10-'[1]EU - country'!E10</f>
        <v>0</v>
      </c>
      <c r="D10" s="13">
        <f>F10-'[1]EU - country'!F10</f>
        <v>0</v>
      </c>
      <c r="E10" s="148"/>
      <c r="F10" s="13"/>
      <c r="G10" s="13"/>
      <c r="H10" s="1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5"/>
      <c r="U10" s="3"/>
    </row>
    <row r="11" spans="1:21" ht="12.75">
      <c r="A11" s="27" t="s">
        <v>36</v>
      </c>
      <c r="B11" s="35">
        <f t="shared" si="0"/>
        <v>-0.3830049458579543</v>
      </c>
      <c r="C11" s="64">
        <f>E11-'[1]EU - country'!E11</f>
        <v>-22025.21880112664</v>
      </c>
      <c r="D11" s="13">
        <f>F11-'[1]EU - country'!F11</f>
        <v>-40063.46366131038</v>
      </c>
      <c r="E11" s="148">
        <f>Spain!E$8</f>
        <v>138743.85356012208</v>
      </c>
      <c r="F11" s="13">
        <f>Spain!F$8</f>
        <v>224870.2848243257</v>
      </c>
      <c r="G11" s="13">
        <f>Spain!G$8</f>
        <v>172318</v>
      </c>
      <c r="H11" s="13">
        <f>Spain!H$8</f>
        <v>160066</v>
      </c>
      <c r="I11" s="13">
        <f>Spain!I$8</f>
        <v>188663.23180120008</v>
      </c>
      <c r="J11" s="13">
        <f>Spain!J$8</f>
        <v>150151.59913891964</v>
      </c>
      <c r="K11" s="13">
        <f>Spain!K$8</f>
        <v>165820</v>
      </c>
      <c r="L11" s="13">
        <f>Spain!L$8</f>
        <v>144371.525500453</v>
      </c>
      <c r="M11" s="13">
        <f>Spain!M$8</f>
        <v>93982.4809721217</v>
      </c>
      <c r="N11" s="13">
        <f>Spain!N$8</f>
        <v>157737.17950279795</v>
      </c>
      <c r="O11" s="13">
        <f>Spain!O$8</f>
        <v>154599</v>
      </c>
      <c r="P11" s="13">
        <f>Spain!P$8</f>
        <v>125802.49</v>
      </c>
      <c r="Q11" s="13">
        <f>Spain!Q$8</f>
        <v>163889.426924293</v>
      </c>
      <c r="R11" s="13">
        <f>Spain!R$8</f>
        <v>139734</v>
      </c>
      <c r="S11" s="46">
        <f>Spain!S$8</f>
        <v>119298</v>
      </c>
      <c r="U11" s="3"/>
    </row>
    <row r="12" spans="1:21" ht="12.75">
      <c r="A12" s="27" t="s">
        <v>59</v>
      </c>
      <c r="B12" s="35">
        <f t="shared" si="0"/>
        <v>0.05524530885593855</v>
      </c>
      <c r="C12" s="64">
        <f>E12-'[1]EU - country'!E12</f>
        <v>-8279</v>
      </c>
      <c r="D12" s="13">
        <f>F12-'[1]EU - country'!F12</f>
        <v>-8549</v>
      </c>
      <c r="E12" s="148">
        <f>Switzerland!E$19</f>
        <v>49319</v>
      </c>
      <c r="F12" s="13">
        <f>Switzerland!F$19</f>
        <v>46737</v>
      </c>
      <c r="G12" s="13">
        <f>Switzerland!G$19</f>
        <v>54629</v>
      </c>
      <c r="H12" s="13">
        <f>Switzerland!H$19</f>
        <v>28870</v>
      </c>
      <c r="I12" s="13">
        <f>Switzerland!I$19</f>
        <v>48769</v>
      </c>
      <c r="J12" s="13">
        <f>Switzerland!J$19</f>
        <v>48265</v>
      </c>
      <c r="K12" s="13">
        <f>Switzerland!K$19</f>
        <v>48810</v>
      </c>
      <c r="L12" s="13">
        <f>Switzerland!L$19</f>
        <v>49281.00000001</v>
      </c>
      <c r="M12" s="13">
        <f>Switzerland!M$19</f>
        <v>47359</v>
      </c>
      <c r="N12" s="13">
        <f>Switzerland!N$19</f>
        <v>53286</v>
      </c>
      <c r="O12" s="13">
        <f>Switzerland!O$19</f>
        <v>50218</v>
      </c>
      <c r="P12" s="13">
        <f>Switzerland!P$19</f>
        <v>53245</v>
      </c>
      <c r="Q12" s="13">
        <f>Switzerland!Q$19</f>
        <v>47370</v>
      </c>
      <c r="R12" s="13">
        <f>Switzerland!R$19</f>
        <v>49000</v>
      </c>
      <c r="S12" s="46">
        <f>Switzerland!S$19</f>
        <v>48174</v>
      </c>
      <c r="U12" s="3"/>
    </row>
    <row r="13" spans="1:19" ht="12.75">
      <c r="A13" s="27" t="s">
        <v>1</v>
      </c>
      <c r="B13" s="35">
        <f t="shared" si="0"/>
        <v>-0.2839841392983363</v>
      </c>
      <c r="C13" s="64">
        <f>E13-'[1]EU - country'!E13</f>
        <v>-32261.600000000006</v>
      </c>
      <c r="D13" s="13">
        <f>F13-'[1]EU - country'!F13</f>
        <v>-33788</v>
      </c>
      <c r="E13" s="148">
        <f>Netherlands!E$8</f>
        <v>99678</v>
      </c>
      <c r="F13" s="13">
        <f>Netherlands!F$8</f>
        <v>139212</v>
      </c>
      <c r="G13" s="13">
        <f>Netherlands!G$8</f>
        <v>126486.233</v>
      </c>
      <c r="H13" s="13">
        <f>Netherlands!H$8</f>
        <v>98324</v>
      </c>
      <c r="I13" s="13">
        <f>Netherlands!I$8</f>
        <v>158978</v>
      </c>
      <c r="J13" s="13">
        <f>Netherlands!J$8</f>
        <v>164428</v>
      </c>
      <c r="K13" s="13">
        <f>Netherlands!K$8</f>
        <v>175127</v>
      </c>
      <c r="L13" s="13">
        <f>Netherlands!L$8</f>
        <v>162670</v>
      </c>
      <c r="M13" s="13">
        <f>Netherlands!M$8</f>
        <v>146000</v>
      </c>
      <c r="N13" s="13">
        <f>Netherlands!N$8</f>
        <v>211000</v>
      </c>
      <c r="O13" s="13">
        <f>Netherlands!O$8</f>
        <v>151000</v>
      </c>
      <c r="P13" s="13">
        <f>Netherlands!P$8</f>
        <v>205000</v>
      </c>
      <c r="Q13" s="13">
        <f>Netherlands!Q$8</f>
        <v>185000</v>
      </c>
      <c r="R13" s="13">
        <f>Netherlands!R$8</f>
        <v>175000</v>
      </c>
      <c r="S13" s="46">
        <f>Netherlands!S$8</f>
        <v>167000</v>
      </c>
    </row>
    <row r="14" spans="1:19" ht="13.5" thickBot="1">
      <c r="A14" s="38" t="s">
        <v>163</v>
      </c>
      <c r="B14" s="35">
        <f t="shared" si="0"/>
        <v>-0.06545102949015136</v>
      </c>
      <c r="C14" s="64">
        <f>E14-'[1]EU - country'!E14</f>
        <v>-12200</v>
      </c>
      <c r="D14" s="13">
        <f>F14-'[1]EU - country'!F14</f>
        <v>-27230</v>
      </c>
      <c r="E14" s="148">
        <f>UK!E$12</f>
        <v>75391</v>
      </c>
      <c r="F14" s="13">
        <f>UK!F$12</f>
        <v>80671</v>
      </c>
      <c r="G14" s="13">
        <f>UK!G$12</f>
        <v>81504</v>
      </c>
      <c r="H14" s="15">
        <f>UK!H$12</f>
        <v>66200</v>
      </c>
      <c r="I14" s="15">
        <f>UK!I$12</f>
        <v>71479</v>
      </c>
      <c r="J14" s="15">
        <f>UK!J$12</f>
        <v>95600</v>
      </c>
      <c r="K14" s="15">
        <f>UK!K$12</f>
        <v>89500</v>
      </c>
      <c r="L14" s="15">
        <f>UK!L$12</f>
        <v>93700</v>
      </c>
      <c r="M14" s="15">
        <f>UK!M$12</f>
        <v>43000</v>
      </c>
      <c r="N14" s="15">
        <f>UK!N$12</f>
        <v>78500</v>
      </c>
      <c r="O14" s="15">
        <f>UK!O$12</f>
        <v>92500</v>
      </c>
      <c r="P14" s="15">
        <f>UK!P$12</f>
        <v>89300</v>
      </c>
      <c r="Q14" s="15">
        <f>UK!Q$12</f>
        <v>68500</v>
      </c>
      <c r="R14" s="15">
        <f>UK!R$12</f>
        <v>70300</v>
      </c>
      <c r="S14" s="47">
        <f>UK!S$12</f>
        <v>55500</v>
      </c>
    </row>
    <row r="15" spans="1:19" ht="13.5" thickBot="1">
      <c r="A15" s="40" t="s">
        <v>22</v>
      </c>
      <c r="B15" s="140">
        <f t="shared" si="0"/>
        <v>0.09067152674909074</v>
      </c>
      <c r="C15" s="90">
        <f>E15-'[1]EU - country'!E15</f>
        <v>-731231.7888011266</v>
      </c>
      <c r="D15" s="125">
        <f>F15-'[1]EU - country'!F15</f>
        <v>-745500.4636613103</v>
      </c>
      <c r="E15" s="59">
        <f>SUM(E2:E14)</f>
        <v>3364921.563560122</v>
      </c>
      <c r="F15" s="125">
        <f>SUM(F2:F14)</f>
        <v>3085183.2848243257</v>
      </c>
      <c r="G15" s="125">
        <f aca="true" t="shared" si="1" ref="G15:S15">SUM(G2:G14)</f>
        <v>3825937.603</v>
      </c>
      <c r="H15" s="125">
        <f t="shared" si="1"/>
        <v>2395634</v>
      </c>
      <c r="I15" s="42">
        <f t="shared" si="1"/>
        <v>3523072.2868012</v>
      </c>
      <c r="J15" s="42">
        <f t="shared" si="1"/>
        <v>3694490.7681389195</v>
      </c>
      <c r="K15" s="42">
        <f t="shared" si="1"/>
        <v>3708855</v>
      </c>
      <c r="L15" s="42">
        <f t="shared" si="1"/>
        <v>3340946.015500463</v>
      </c>
      <c r="M15" s="42">
        <f t="shared" si="1"/>
        <v>2788557.4809721215</v>
      </c>
      <c r="N15" s="42">
        <f t="shared" si="1"/>
        <v>3336984.179502798</v>
      </c>
      <c r="O15" s="42">
        <f t="shared" si="1"/>
        <v>2791943.19439278</v>
      </c>
      <c r="P15" s="42">
        <f t="shared" si="1"/>
        <v>3089591.49</v>
      </c>
      <c r="Q15" s="42">
        <f t="shared" si="1"/>
        <v>2509304.426924293</v>
      </c>
      <c r="R15" s="42">
        <f t="shared" si="1"/>
        <v>2060310</v>
      </c>
      <c r="S15" s="48">
        <f t="shared" si="1"/>
        <v>2118612</v>
      </c>
    </row>
    <row r="16" spans="1:19" s="9" customFormat="1" ht="12.75">
      <c r="A16" s="12"/>
      <c r="B16" s="44"/>
      <c r="C16" s="44"/>
      <c r="D16" s="44"/>
      <c r="E16" s="44"/>
      <c r="F16" s="44"/>
      <c r="G16" s="44"/>
      <c r="H16" s="44"/>
      <c r="I16" s="44"/>
      <c r="J16" s="12"/>
      <c r="K16" s="12"/>
      <c r="L16" s="12"/>
      <c r="M16" s="12"/>
      <c r="N16" s="12"/>
      <c r="O16" s="12"/>
      <c r="P16" s="12"/>
      <c r="Q16" s="12"/>
      <c r="R16" s="8"/>
      <c r="S16" s="8"/>
    </row>
    <row r="17" spans="1:19" s="9" customFormat="1" ht="13.5" thickBot="1">
      <c r="A17" s="12"/>
      <c r="B17" s="44"/>
      <c r="C17" s="44"/>
      <c r="D17" s="44"/>
      <c r="E17" s="44"/>
      <c r="F17" s="44"/>
      <c r="G17" s="44"/>
      <c r="H17" s="44"/>
      <c r="I17" s="44"/>
      <c r="J17" s="12"/>
      <c r="K17" s="12"/>
      <c r="L17" s="12"/>
      <c r="M17" s="12"/>
      <c r="N17" s="12"/>
      <c r="O17" s="12"/>
      <c r="P17" s="12"/>
      <c r="Q17" s="12"/>
      <c r="R17" s="8"/>
      <c r="S17" s="8"/>
    </row>
    <row r="18" spans="1:20" s="16" customFormat="1" ht="13.5" thickBot="1">
      <c r="A18" s="31" t="s">
        <v>24</v>
      </c>
      <c r="B18" s="32" t="s">
        <v>172</v>
      </c>
      <c r="C18" s="63" t="s">
        <v>173</v>
      </c>
      <c r="D18" s="110" t="s">
        <v>166</v>
      </c>
      <c r="E18" s="161">
        <v>44228</v>
      </c>
      <c r="F18" s="113">
        <v>43862</v>
      </c>
      <c r="G18" s="113">
        <v>43497</v>
      </c>
      <c r="H18" s="113">
        <v>43132</v>
      </c>
      <c r="I18" s="33">
        <v>42767</v>
      </c>
      <c r="J18" s="113">
        <v>42401</v>
      </c>
      <c r="K18" s="113">
        <v>42036</v>
      </c>
      <c r="L18" s="113">
        <v>41671</v>
      </c>
      <c r="M18" s="113">
        <v>41306</v>
      </c>
      <c r="N18" s="113">
        <v>40940</v>
      </c>
      <c r="O18" s="113">
        <v>40575</v>
      </c>
      <c r="P18" s="113">
        <v>40210</v>
      </c>
      <c r="Q18" s="113">
        <v>39845</v>
      </c>
      <c r="R18" s="33">
        <v>39479</v>
      </c>
      <c r="S18" s="49">
        <v>39114</v>
      </c>
      <c r="T18" s="12"/>
    </row>
    <row r="19" spans="1:19" ht="12.75">
      <c r="A19" s="27" t="s">
        <v>0</v>
      </c>
      <c r="B19" s="35">
        <f aca="true" t="shared" si="2" ref="B19:B31">(E19-F19)/F19</f>
        <v>0.48325584529344384</v>
      </c>
      <c r="C19" s="64">
        <f>E19-'[1]EU - country'!E19</f>
        <v>-39744</v>
      </c>
      <c r="D19" s="13">
        <f>F19-'[1]EU - country'!F19</f>
        <v>-40863</v>
      </c>
      <c r="E19" s="148">
        <f>Belgium!E$19</f>
        <v>198117</v>
      </c>
      <c r="F19" s="13">
        <f>Belgium!F$19</f>
        <v>133569</v>
      </c>
      <c r="G19" s="13">
        <f>Belgium!G$19</f>
        <v>175217</v>
      </c>
      <c r="H19" s="13">
        <f>Belgium!H$19</f>
        <v>121197</v>
      </c>
      <c r="I19" s="13">
        <f>Belgium!I$19</f>
        <v>149674</v>
      </c>
      <c r="J19" s="13">
        <f>Belgium!J$19</f>
        <v>177611</v>
      </c>
      <c r="K19" s="13">
        <f>Belgium!K$19</f>
        <v>155728</v>
      </c>
      <c r="L19" s="13">
        <f>Belgium!L$19</f>
        <v>121703</v>
      </c>
      <c r="M19" s="13">
        <f>Belgium!M$19</f>
        <v>86255</v>
      </c>
      <c r="N19" s="13">
        <f>Belgium!N$19</f>
        <v>92140</v>
      </c>
      <c r="O19" s="13">
        <f>Belgium!O$19</f>
        <v>99800</v>
      </c>
      <c r="P19" s="13">
        <v>95500</v>
      </c>
      <c r="Q19" s="13">
        <v>39400</v>
      </c>
      <c r="R19" s="13">
        <v>92550</v>
      </c>
      <c r="S19" s="46">
        <v>104200</v>
      </c>
    </row>
    <row r="20" spans="1:19" ht="12.75">
      <c r="A20" s="27" t="s">
        <v>30</v>
      </c>
      <c r="B20" s="35">
        <f t="shared" si="2"/>
        <v>0.03138075313807531</v>
      </c>
      <c r="C20" s="64">
        <f>E20-'[1]EU - country'!E20</f>
        <v>-1055</v>
      </c>
      <c r="D20" s="13">
        <f>F20-'[1]EU - country'!F20</f>
        <v>-680</v>
      </c>
      <c r="E20" s="148">
        <f>'Czech Republic'!E$21</f>
        <v>1972</v>
      </c>
      <c r="F20" s="13">
        <f>'Czech Republic'!F$21</f>
        <v>1912</v>
      </c>
      <c r="G20" s="13">
        <f>'Czech Republic'!G$21</f>
        <v>1539</v>
      </c>
      <c r="H20" s="13">
        <f>'Czech Republic'!H$21</f>
        <v>1060</v>
      </c>
      <c r="I20" s="13">
        <f>'Czech Republic'!I$21</f>
        <v>943</v>
      </c>
      <c r="J20" s="13">
        <f>'Czech Republic'!J$21</f>
        <v>2105</v>
      </c>
      <c r="K20" s="13">
        <f>'Czech Republic'!K$21</f>
        <v>391</v>
      </c>
      <c r="L20" s="13">
        <f>'Czech Republic'!L$21</f>
        <v>1580</v>
      </c>
      <c r="M20" s="13">
        <f>'Czech Republic'!M$21</f>
        <v>326</v>
      </c>
      <c r="N20" s="13">
        <f>'Czech Republic'!N$21</f>
        <v>312</v>
      </c>
      <c r="O20" s="13">
        <f>'Czech Republic'!O$21</f>
        <v>80</v>
      </c>
      <c r="P20" s="13">
        <v>49</v>
      </c>
      <c r="Q20" s="13">
        <v>0</v>
      </c>
      <c r="R20" s="13">
        <v>14</v>
      </c>
      <c r="S20" s="46">
        <v>9</v>
      </c>
    </row>
    <row r="21" spans="1:21" ht="12.75">
      <c r="A21" s="27" t="s">
        <v>39</v>
      </c>
      <c r="B21" s="35">
        <f t="shared" si="2"/>
        <v>0.9166666666666666</v>
      </c>
      <c r="C21" s="64">
        <f>E21-'[1]EU - country'!E21</f>
        <v>-48</v>
      </c>
      <c r="D21" s="13">
        <f>F21-'[1]EU - country'!F21</f>
        <v>-95</v>
      </c>
      <c r="E21" s="148">
        <f>Denmark!E$27</f>
        <v>69</v>
      </c>
      <c r="F21" s="13">
        <f>Denmark!F$27</f>
        <v>36</v>
      </c>
      <c r="G21" s="13">
        <f>Denmark!G$27</f>
        <v>302</v>
      </c>
      <c r="H21" s="13">
        <f>Denmark!H$27</f>
        <v>0</v>
      </c>
      <c r="I21" s="13">
        <f>Denmark!I$27</f>
        <v>37</v>
      </c>
      <c r="J21" s="13">
        <f>Denmark!J$27</f>
        <v>184</v>
      </c>
      <c r="K21" s="13">
        <f>Denmark!K$27</f>
        <v>10</v>
      </c>
      <c r="L21" s="13">
        <f>Denmark!L$27</f>
        <v>174</v>
      </c>
      <c r="M21" s="13">
        <f>Denmark!M$27</f>
        <v>0</v>
      </c>
      <c r="N21" s="13">
        <f>Denmark!N$27</f>
        <v>118</v>
      </c>
      <c r="O21" s="13">
        <f>Denmark!O$27</f>
        <v>0</v>
      </c>
      <c r="P21" s="13">
        <v>0</v>
      </c>
      <c r="Q21" s="13">
        <v>0</v>
      </c>
      <c r="R21" s="13">
        <v>0</v>
      </c>
      <c r="S21" s="46">
        <v>0</v>
      </c>
      <c r="U21" s="3"/>
    </row>
    <row r="22" spans="1:19" ht="15">
      <c r="A22" s="54" t="s">
        <v>131</v>
      </c>
      <c r="B22" s="142">
        <f t="shared" si="2"/>
        <v>0.38028169014084506</v>
      </c>
      <c r="C22" s="175">
        <f>E22-'[1]EU - country'!E22</f>
        <v>-4861</v>
      </c>
      <c r="D22" s="13">
        <f>F22-'[1]EU - country'!F22</f>
        <v>-3324</v>
      </c>
      <c r="E22" s="148">
        <f>France!E38</f>
        <v>7448</v>
      </c>
      <c r="F22" s="13">
        <f>France!F38</f>
        <v>5396</v>
      </c>
      <c r="G22" s="13">
        <f>France!G38</f>
        <v>7075</v>
      </c>
      <c r="H22" s="13">
        <f>France!H38</f>
        <v>6006</v>
      </c>
      <c r="I22" s="13">
        <f>France!I38</f>
        <v>5497</v>
      </c>
      <c r="J22" s="13">
        <f>France!J38</f>
        <v>6208</v>
      </c>
      <c r="K22" s="13">
        <f>France!K38</f>
        <v>6113</v>
      </c>
      <c r="L22" s="13">
        <f>France!L38</f>
        <v>4872</v>
      </c>
      <c r="M22" s="13">
        <f>France!M38</f>
        <v>2623</v>
      </c>
      <c r="N22" s="13">
        <f>France!N38</f>
        <v>7348</v>
      </c>
      <c r="O22" s="13">
        <f>France!O38</f>
        <v>0</v>
      </c>
      <c r="P22" s="13">
        <v>5969</v>
      </c>
      <c r="Q22" s="136"/>
      <c r="R22" s="136"/>
      <c r="S22" s="105"/>
    </row>
    <row r="23" spans="1:21" ht="12.75">
      <c r="A23" s="27" t="s">
        <v>27</v>
      </c>
      <c r="B23" s="35">
        <f t="shared" si="2"/>
        <v>-0.02079002079002079</v>
      </c>
      <c r="C23" s="64">
        <f>E23-'[1]EU - country'!E23</f>
        <v>-1175</v>
      </c>
      <c r="D23" s="13">
        <f>F23-'[1]EU - country'!F23</f>
        <v>-1691</v>
      </c>
      <c r="E23" s="148">
        <f>Germany!E$26</f>
        <v>2355</v>
      </c>
      <c r="F23" s="13">
        <f>Germany!F$26</f>
        <v>2405</v>
      </c>
      <c r="G23" s="13">
        <f>Germany!G$26</f>
        <v>2028</v>
      </c>
      <c r="H23" s="13">
        <f>Germany!H$26</f>
        <v>1624</v>
      </c>
      <c r="I23" s="93">
        <f>Germany!I$26</f>
        <v>662</v>
      </c>
      <c r="J23" s="13">
        <f>Germany!J$26</f>
        <v>1490</v>
      </c>
      <c r="K23" s="13">
        <f>Germany!K$26</f>
        <v>1553</v>
      </c>
      <c r="L23" s="13">
        <f>Germany!L$26</f>
        <v>1733</v>
      </c>
      <c r="M23" s="13">
        <f>Germany!M$26</f>
        <v>195</v>
      </c>
      <c r="N23" s="13">
        <f>Germany!N$26</f>
        <v>1246</v>
      </c>
      <c r="O23" s="13">
        <f>Germany!O$26</f>
        <v>780</v>
      </c>
      <c r="P23" s="13">
        <v>1108</v>
      </c>
      <c r="Q23" s="13">
        <v>316</v>
      </c>
      <c r="R23" s="13">
        <v>554</v>
      </c>
      <c r="S23" s="46">
        <v>298</v>
      </c>
      <c r="U23" s="3"/>
    </row>
    <row r="24" spans="1:21" ht="12.75">
      <c r="A24" s="27" t="s">
        <v>16</v>
      </c>
      <c r="B24" s="35">
        <f t="shared" si="2"/>
        <v>1.7187787751155585</v>
      </c>
      <c r="C24" s="64">
        <f>E24-'[1]EU - country'!E24</f>
        <v>-49824.904609639314</v>
      </c>
      <c r="D24" s="13">
        <f>F24-'[1]EU - country'!F24</f>
        <v>-36242.6245419878</v>
      </c>
      <c r="E24" s="148">
        <f>Italy!E$29</f>
        <v>125689.83763913292</v>
      </c>
      <c r="F24" s="13">
        <f>Italy!F$29</f>
        <v>46230.255580022545</v>
      </c>
      <c r="G24" s="13">
        <f>Italy!G$29</f>
        <v>147783.99458474095</v>
      </c>
      <c r="H24" s="13">
        <f>Italy!H$29</f>
        <v>179824.12404133353</v>
      </c>
      <c r="I24" s="13">
        <f>Italy!I$29</f>
        <v>140718.61316234793</v>
      </c>
      <c r="J24" s="13">
        <f>Italy!J$29</f>
        <v>183164.48936184015</v>
      </c>
      <c r="K24" s="13">
        <f>Italy!K$29</f>
        <v>167433.55357451673</v>
      </c>
      <c r="L24" s="13">
        <f>Italy!L$29</f>
        <v>227349.45139092044</v>
      </c>
      <c r="M24" s="13">
        <f>Italy!M$29</f>
        <v>136308.74780540648</v>
      </c>
      <c r="N24" s="13">
        <f>Italy!N$29</f>
        <v>272361.223970861</v>
      </c>
      <c r="O24" s="13">
        <f>Italy!O$29</f>
        <v>109107.61688789446</v>
      </c>
      <c r="P24" s="13">
        <v>168898.23351489013</v>
      </c>
      <c r="Q24" s="13">
        <v>114234</v>
      </c>
      <c r="R24" s="13">
        <v>119992</v>
      </c>
      <c r="S24" s="46">
        <v>159717</v>
      </c>
      <c r="U24" s="3"/>
    </row>
    <row r="25" spans="1:21" ht="12.75">
      <c r="A25" s="54" t="s">
        <v>31</v>
      </c>
      <c r="B25" s="35">
        <f t="shared" si="2"/>
        <v>8</v>
      </c>
      <c r="C25" s="64">
        <f>E25-'[1]EU - country'!E25</f>
        <v>-17000</v>
      </c>
      <c r="D25" s="13">
        <f>F25-'[1]EU - country'!F25</f>
        <v>-6000</v>
      </c>
      <c r="E25" s="148">
        <f>Poland!E$25</f>
        <v>9000</v>
      </c>
      <c r="F25" s="13">
        <f>Poland!F$25</f>
        <v>1000</v>
      </c>
      <c r="G25" s="13">
        <f>Poland!G$25</f>
        <v>8000</v>
      </c>
      <c r="H25" s="13">
        <f>Poland!H$25</f>
        <v>1000</v>
      </c>
      <c r="I25" s="13">
        <f>Poland!I$25</f>
        <v>1000</v>
      </c>
      <c r="J25" s="93">
        <f>Poland!J$25</f>
        <v>7000</v>
      </c>
      <c r="K25" s="93">
        <f>Poland!K$25</f>
        <v>3000</v>
      </c>
      <c r="L25" s="93">
        <f>Poland!L$25</f>
        <v>12000</v>
      </c>
      <c r="M25" s="93">
        <f>Poland!M$25</f>
        <v>1000</v>
      </c>
      <c r="N25" s="93">
        <f>Poland!N$25</f>
        <v>8000</v>
      </c>
      <c r="O25" s="93">
        <f>Poland!O$25</f>
        <v>8000</v>
      </c>
      <c r="P25" s="93">
        <v>18000</v>
      </c>
      <c r="Q25" s="93">
        <v>10000</v>
      </c>
      <c r="R25" s="93">
        <v>5000</v>
      </c>
      <c r="S25" s="95">
        <v>13000</v>
      </c>
      <c r="U25" s="3"/>
    </row>
    <row r="26" spans="1:21" ht="12.75">
      <c r="A26" s="54" t="s">
        <v>164</v>
      </c>
      <c r="B26" s="149">
        <f t="shared" si="2"/>
        <v>-1</v>
      </c>
      <c r="C26" s="176">
        <f>E26-'[1]EU - country'!E26</f>
        <v>0</v>
      </c>
      <c r="D26" s="122">
        <f>F26-'[1]EU - country'!F26</f>
        <v>-20205</v>
      </c>
      <c r="E26" s="163">
        <f>Portugal!E$14</f>
        <v>0</v>
      </c>
      <c r="F26" s="122">
        <f>Portugal!F$14</f>
        <v>66403</v>
      </c>
      <c r="G26" s="122">
        <f>Portugal!G$14</f>
        <v>56990</v>
      </c>
      <c r="H26" s="122"/>
      <c r="I26" s="93"/>
      <c r="J26" s="141"/>
      <c r="K26" s="141"/>
      <c r="L26" s="141"/>
      <c r="M26" s="141"/>
      <c r="N26" s="141"/>
      <c r="O26" s="141"/>
      <c r="P26" s="93"/>
      <c r="Q26" s="93"/>
      <c r="R26" s="93"/>
      <c r="S26" s="95"/>
      <c r="U26" s="3"/>
    </row>
    <row r="27" spans="1:21" ht="12.75">
      <c r="A27" s="27" t="s">
        <v>36</v>
      </c>
      <c r="B27" s="35">
        <f t="shared" si="2"/>
        <v>-0.041706491808110945</v>
      </c>
      <c r="C27" s="64">
        <f>E27-'[1]EU - country'!E27</f>
        <v>-9307.027249797888</v>
      </c>
      <c r="D27" s="13">
        <f>F27-'[1]EU - country'!F27</f>
        <v>-14988.254349553077</v>
      </c>
      <c r="E27" s="148">
        <f>Spain!E$17</f>
        <v>50612.21768660466</v>
      </c>
      <c r="F27" s="13">
        <f>Spain!F$17</f>
        <v>52814.943703521414</v>
      </c>
      <c r="G27" s="13">
        <f>Spain!G$17</f>
        <v>53235</v>
      </c>
      <c r="H27" s="13">
        <f>Spain!H$17</f>
        <v>59778</v>
      </c>
      <c r="I27" s="93">
        <f>Spain!I$17</f>
        <v>50866.267070448375</v>
      </c>
      <c r="J27" s="13">
        <f>Spain!J$17</f>
        <v>51091.610535716565</v>
      </c>
      <c r="K27" s="13">
        <f>Spain!K$17</f>
        <v>62653.72</v>
      </c>
      <c r="L27" s="13">
        <f>Spain!L$17</f>
        <v>77651.03948842485</v>
      </c>
      <c r="M27" s="13">
        <f>Spain!M$17</f>
        <v>43618.94510569216</v>
      </c>
      <c r="N27" s="13">
        <f>Spain!N$17</f>
        <v>96273</v>
      </c>
      <c r="O27" s="13">
        <f>Spain!O$17</f>
        <v>93514</v>
      </c>
      <c r="P27" s="13">
        <v>65614</v>
      </c>
      <c r="Q27" s="13">
        <v>72520</v>
      </c>
      <c r="R27" s="13">
        <v>71382</v>
      </c>
      <c r="S27" s="46">
        <v>79219</v>
      </c>
      <c r="U27" s="3"/>
    </row>
    <row r="28" spans="1:21" ht="12.75">
      <c r="A28" s="27" t="s">
        <v>59</v>
      </c>
      <c r="B28" s="35">
        <f t="shared" si="2"/>
        <v>-0.1098159509202454</v>
      </c>
      <c r="C28" s="64">
        <f>E28-'[1]EU - country'!E28</f>
        <v>-1945</v>
      </c>
      <c r="D28" s="13">
        <f>F28-'[1]EU - country'!F28</f>
        <v>-2447</v>
      </c>
      <c r="E28" s="148">
        <f>Switzerland!E$28</f>
        <v>5804</v>
      </c>
      <c r="F28" s="13">
        <f>Switzerland!F$28</f>
        <v>6520</v>
      </c>
      <c r="G28" s="13">
        <f>Switzerland!G$28</f>
        <v>6222</v>
      </c>
      <c r="H28" s="13">
        <f>Switzerland!H$28</f>
        <v>145</v>
      </c>
      <c r="I28" s="13">
        <f>Switzerland!I$28</f>
        <v>3838</v>
      </c>
      <c r="J28" s="13">
        <f>Switzerland!J$28</f>
        <v>3879</v>
      </c>
      <c r="K28" s="13">
        <f>Switzerland!K$28</f>
        <v>5506</v>
      </c>
      <c r="L28" s="13">
        <f>Switzerland!L$28</f>
        <v>4201</v>
      </c>
      <c r="M28" s="13">
        <f>Switzerland!M$28</f>
        <v>2050</v>
      </c>
      <c r="N28" s="13">
        <f>Switzerland!N$28</f>
        <v>7392</v>
      </c>
      <c r="O28" s="13">
        <f>Switzerland!O$28</f>
        <v>1557</v>
      </c>
      <c r="P28" s="13">
        <v>6542</v>
      </c>
      <c r="Q28" s="13">
        <v>495</v>
      </c>
      <c r="R28" s="13">
        <v>7253</v>
      </c>
      <c r="S28" s="46">
        <v>2589</v>
      </c>
      <c r="U28" s="3"/>
    </row>
    <row r="29" spans="1:19" ht="12.75">
      <c r="A29" s="27" t="s">
        <v>1</v>
      </c>
      <c r="B29" s="35">
        <f t="shared" si="2"/>
        <v>0.13169935890082718</v>
      </c>
      <c r="C29" s="64">
        <f>E29-'[1]EU - country'!E29</f>
        <v>-46658.50000000003</v>
      </c>
      <c r="D29" s="13">
        <f>F29-'[1]EU - country'!F29</f>
        <v>-43082</v>
      </c>
      <c r="E29" s="148">
        <f>Netherlands!E$15</f>
        <v>177584</v>
      </c>
      <c r="F29" s="13">
        <f>Netherlands!F$15</f>
        <v>156918</v>
      </c>
      <c r="G29" s="13">
        <f>Netherlands!G$15</f>
        <v>181888.21500000003</v>
      </c>
      <c r="H29" s="13">
        <f>Netherlands!H$15</f>
        <v>148056</v>
      </c>
      <c r="I29" s="13">
        <f>Netherlands!I$15</f>
        <v>165715</v>
      </c>
      <c r="J29" s="13">
        <f>Netherlands!J$15</f>
        <v>166835</v>
      </c>
      <c r="K29" s="13">
        <f>Netherlands!K$15</f>
        <v>154690</v>
      </c>
      <c r="L29" s="13">
        <f>Netherlands!L$15</f>
        <v>154874</v>
      </c>
      <c r="M29" s="13">
        <f>Netherlands!M$15</f>
        <v>79000</v>
      </c>
      <c r="N29" s="13">
        <f>Netherlands!N$15</f>
        <v>132000</v>
      </c>
      <c r="O29" s="13">
        <f>Netherlands!O$15</f>
        <v>103000</v>
      </c>
      <c r="P29" s="13">
        <v>121000</v>
      </c>
      <c r="Q29" s="13">
        <v>54000</v>
      </c>
      <c r="R29" s="13">
        <v>82000</v>
      </c>
      <c r="S29" s="46">
        <v>80000</v>
      </c>
    </row>
    <row r="30" spans="1:21" ht="13.5" thickBot="1">
      <c r="A30" s="38" t="s">
        <v>163</v>
      </c>
      <c r="B30" s="36">
        <f t="shared" si="2"/>
        <v>0.2750879091154991</v>
      </c>
      <c r="C30" s="65">
        <f>E30-'[1]EU - country'!E30</f>
        <v>-1727</v>
      </c>
      <c r="D30" s="15">
        <f>F30-'[1]EU - country'!F30</f>
        <v>-1783</v>
      </c>
      <c r="E30" s="162">
        <f>UK!E$19</f>
        <v>4714</v>
      </c>
      <c r="F30" s="15">
        <f>UK!F$19</f>
        <v>3697</v>
      </c>
      <c r="G30" s="15">
        <f>UK!G$19</f>
        <v>5023</v>
      </c>
      <c r="H30" s="15">
        <f>UK!H$19</f>
        <v>5933</v>
      </c>
      <c r="I30" s="13">
        <f>UK!I$19</f>
        <v>5290</v>
      </c>
      <c r="J30" s="15">
        <f>UK!J$19</f>
        <v>8400</v>
      </c>
      <c r="K30" s="15">
        <f>UK!K$19</f>
        <v>6000</v>
      </c>
      <c r="L30" s="15">
        <f>UK!L$19</f>
        <v>9000</v>
      </c>
      <c r="M30" s="15">
        <f>UK!M$19</f>
        <v>6000</v>
      </c>
      <c r="N30" s="15">
        <f>UK!N$19</f>
        <v>7500</v>
      </c>
      <c r="O30" s="15">
        <f>UK!O$19</f>
        <v>8000</v>
      </c>
      <c r="P30" s="15">
        <v>11000</v>
      </c>
      <c r="Q30" s="15">
        <v>4500</v>
      </c>
      <c r="R30" s="15">
        <v>5000</v>
      </c>
      <c r="S30" s="47">
        <v>5500</v>
      </c>
      <c r="U30" s="3"/>
    </row>
    <row r="31" spans="1:19" ht="13.5" thickBot="1">
      <c r="A31" s="40" t="s">
        <v>22</v>
      </c>
      <c r="B31" s="41">
        <f t="shared" si="2"/>
        <v>0.22324090650670597</v>
      </c>
      <c r="C31" s="66">
        <f>E31-'[1]EU - country'!E31</f>
        <v>-173345.43185943726</v>
      </c>
      <c r="D31" s="42">
        <f>F31-'[1]EU - country'!F31</f>
        <v>-171400.87889154092</v>
      </c>
      <c r="E31" s="138">
        <f>SUM(E19:E30)</f>
        <v>583365.0553257376</v>
      </c>
      <c r="F31" s="42">
        <f>SUM(F19:F30)</f>
        <v>476901.199283544</v>
      </c>
      <c r="G31" s="42">
        <f>SUM(G19:G30)</f>
        <v>645303.2095847409</v>
      </c>
      <c r="H31" s="42">
        <f aca="true" t="shared" si="3" ref="H31:M31">SUM(H19:H30)</f>
        <v>524623.1240413336</v>
      </c>
      <c r="I31" s="125">
        <f t="shared" si="3"/>
        <v>524240.8802327963</v>
      </c>
      <c r="J31" s="42">
        <f t="shared" si="3"/>
        <v>607968.0998975567</v>
      </c>
      <c r="K31" s="42">
        <f t="shared" si="3"/>
        <v>563078.2735745168</v>
      </c>
      <c r="L31" s="42">
        <f t="shared" si="3"/>
        <v>615137.4908793452</v>
      </c>
      <c r="M31" s="42">
        <f t="shared" si="3"/>
        <v>357376.69291109865</v>
      </c>
      <c r="N31" s="42">
        <f aca="true" t="shared" si="4" ref="N31:S31">SUM(N19:N30)</f>
        <v>624690.2239708609</v>
      </c>
      <c r="O31" s="42">
        <f t="shared" si="4"/>
        <v>423838.61688789446</v>
      </c>
      <c r="P31" s="42">
        <f t="shared" si="4"/>
        <v>493680.23351489013</v>
      </c>
      <c r="Q31" s="42">
        <f t="shared" si="4"/>
        <v>295465</v>
      </c>
      <c r="R31" s="42">
        <f t="shared" si="4"/>
        <v>383745</v>
      </c>
      <c r="S31" s="48">
        <f t="shared" si="4"/>
        <v>444532</v>
      </c>
    </row>
    <row r="32" ht="12.75">
      <c r="S32" s="1"/>
    </row>
    <row r="33" spans="1:19" ht="12.75">
      <c r="A33" s="106" t="s">
        <v>165</v>
      </c>
      <c r="S33" s="1"/>
    </row>
    <row r="34" spans="1:19" ht="12.75">
      <c r="A34" s="67"/>
      <c r="R34" s="1"/>
      <c r="S34" s="1"/>
    </row>
    <row r="35" spans="1:19" ht="12.75">
      <c r="A35" s="9"/>
      <c r="B35" s="12"/>
      <c r="C35" s="12"/>
      <c r="D35" s="12"/>
      <c r="E35" s="12"/>
      <c r="I35" s="12"/>
      <c r="R35" s="1"/>
      <c r="S35" s="1"/>
    </row>
    <row r="36" spans="1:20" ht="12.75">
      <c r="A36" s="97"/>
      <c r="B36" s="12"/>
      <c r="C36" s="12"/>
      <c r="D36" s="12"/>
      <c r="E36" s="12"/>
      <c r="I36" s="12"/>
      <c r="R36" s="12"/>
      <c r="S36" s="12"/>
      <c r="T36" s="12"/>
    </row>
    <row r="37" spans="1:20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2"/>
    </row>
    <row r="38" spans="1:20" ht="12.75">
      <c r="A38" s="12"/>
      <c r="B38" s="12"/>
      <c r="C38" s="12"/>
      <c r="D38" s="12"/>
      <c r="E38" s="12"/>
      <c r="I38" s="12"/>
      <c r="R38" s="13"/>
      <c r="S38" s="13"/>
      <c r="T38" s="12"/>
    </row>
    <row r="39" spans="1:21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11"/>
      <c r="U39" s="9"/>
    </row>
    <row r="40" spans="1:21" ht="12.75">
      <c r="A40" s="12"/>
      <c r="B40" s="12"/>
      <c r="C40" s="12"/>
      <c r="D40" s="12"/>
      <c r="E40" s="12"/>
      <c r="I40" s="12"/>
      <c r="R40" s="20"/>
      <c r="S40" s="20"/>
      <c r="T40" s="13"/>
      <c r="U40" s="9"/>
    </row>
    <row r="41" spans="1:21" ht="12.75">
      <c r="A41" s="12"/>
      <c r="B41" s="12"/>
      <c r="C41" s="12"/>
      <c r="D41" s="12"/>
      <c r="E41" s="12"/>
      <c r="I41" s="12"/>
      <c r="R41" s="20"/>
      <c r="S41" s="20"/>
      <c r="T41" s="13"/>
      <c r="U41" s="9"/>
    </row>
    <row r="42" spans="1:21" ht="12.75">
      <c r="A42" s="12"/>
      <c r="B42" s="12"/>
      <c r="C42" s="12"/>
      <c r="D42" s="12"/>
      <c r="E42" s="12"/>
      <c r="I42" s="12"/>
      <c r="R42" s="20"/>
      <c r="S42" s="20"/>
      <c r="T42" s="13"/>
      <c r="U42" s="9"/>
    </row>
    <row r="43" spans="1:21" ht="12.75">
      <c r="A43" s="12"/>
      <c r="B43" s="12"/>
      <c r="C43" s="12"/>
      <c r="D43" s="12"/>
      <c r="E43" s="12"/>
      <c r="I43" s="12"/>
      <c r="R43" s="20"/>
      <c r="S43" s="20"/>
      <c r="T43" s="13"/>
      <c r="U43" s="9"/>
    </row>
    <row r="44" spans="1:21" ht="12.75">
      <c r="A44" s="12"/>
      <c r="B44" s="12"/>
      <c r="C44" s="12"/>
      <c r="D44" s="12"/>
      <c r="E44" s="12"/>
      <c r="I44" s="12"/>
      <c r="R44" s="20"/>
      <c r="S44" s="20"/>
      <c r="T44" s="13"/>
      <c r="U44" s="9"/>
    </row>
    <row r="45" spans="1:21" ht="12.75">
      <c r="A45" s="12"/>
      <c r="B45" s="12"/>
      <c r="C45" s="12"/>
      <c r="D45" s="12"/>
      <c r="E45" s="12"/>
      <c r="I45" s="12"/>
      <c r="R45" s="20"/>
      <c r="S45" s="20"/>
      <c r="T45" s="13"/>
      <c r="U45" s="9"/>
    </row>
    <row r="46" spans="1:21" ht="12.75">
      <c r="A46" s="12"/>
      <c r="B46" s="12"/>
      <c r="C46" s="12"/>
      <c r="D46" s="12"/>
      <c r="E46" s="12"/>
      <c r="I46" s="12"/>
      <c r="R46" s="20"/>
      <c r="S46" s="20"/>
      <c r="T46" s="13"/>
      <c r="U46" s="9"/>
    </row>
    <row r="47" spans="1:2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0"/>
      <c r="S47" s="20"/>
      <c r="T47" s="13"/>
      <c r="U47" s="9"/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0"/>
      <c r="S48" s="20"/>
      <c r="T48" s="13"/>
      <c r="U48" s="9"/>
    </row>
    <row r="49" spans="1:2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0"/>
      <c r="S49" s="20"/>
      <c r="T49" s="13"/>
      <c r="U49" s="9"/>
    </row>
    <row r="50" spans="1:2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0"/>
      <c r="S50" s="20"/>
      <c r="T50" s="13"/>
      <c r="U50" s="9"/>
    </row>
    <row r="51" spans="1:2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0"/>
      <c r="S51" s="20"/>
      <c r="T51" s="13"/>
      <c r="U51" s="9"/>
    </row>
    <row r="52" spans="1:2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0"/>
      <c r="S52" s="20"/>
      <c r="T52" s="13"/>
      <c r="U52" s="9"/>
    </row>
    <row r="53" spans="1:2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0"/>
      <c r="S53" s="20"/>
      <c r="T53" s="13"/>
      <c r="U53" s="9"/>
    </row>
    <row r="54" spans="1:2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0"/>
      <c r="S54" s="20"/>
      <c r="T54" s="13"/>
      <c r="U54" s="9"/>
    </row>
    <row r="55" spans="1:2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0"/>
      <c r="S55" s="20"/>
      <c r="T55" s="14"/>
      <c r="U55" s="9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0"/>
      <c r="S56" s="20"/>
      <c r="T56" s="12"/>
    </row>
    <row r="57" spans="1:2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0"/>
      <c r="S57" s="20"/>
      <c r="T57" s="13"/>
      <c r="U57" s="9"/>
    </row>
    <row r="58" spans="1:2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0"/>
      <c r="S58" s="20"/>
      <c r="T58" s="13"/>
      <c r="U58" s="9"/>
    </row>
    <row r="59" spans="1:2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0"/>
      <c r="S59" s="20"/>
      <c r="T59" s="13"/>
      <c r="U59" s="9"/>
    </row>
    <row r="60" spans="1:2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0"/>
      <c r="S60" s="20"/>
      <c r="T60" s="13"/>
      <c r="U60" s="9"/>
    </row>
    <row r="61" spans="1:2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0"/>
      <c r="S61" s="20"/>
      <c r="T61" s="13"/>
      <c r="U61" s="9"/>
    </row>
    <row r="62" spans="1:2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0"/>
      <c r="S62" s="20"/>
      <c r="T62" s="14"/>
      <c r="U62" s="9"/>
    </row>
    <row r="63" spans="1:20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/>
      <c r="S63" s="21"/>
      <c r="T63" s="12"/>
    </row>
    <row r="64" spans="1:20" ht="12.75">
      <c r="A64" s="12"/>
      <c r="B64" s="12"/>
      <c r="C64" s="12"/>
      <c r="D64" s="12"/>
      <c r="E64" s="12"/>
      <c r="I64" s="12"/>
      <c r="R64" s="13"/>
      <c r="S64" s="13"/>
      <c r="T64" s="12"/>
    </row>
    <row r="65" spans="1:20" ht="12.75">
      <c r="A65" s="12"/>
      <c r="B65" s="12"/>
      <c r="C65" s="12"/>
      <c r="D65" s="12"/>
      <c r="E65" s="12"/>
      <c r="I65" s="12"/>
      <c r="R65" s="13"/>
      <c r="S65" s="13"/>
      <c r="T65" s="12"/>
    </row>
    <row r="66" spans="1:20" ht="12.75">
      <c r="A66" s="12"/>
      <c r="B66" s="12"/>
      <c r="C66" s="12"/>
      <c r="D66" s="12"/>
      <c r="E66" s="12"/>
      <c r="I66" s="12"/>
      <c r="R66" s="13"/>
      <c r="S66" s="13"/>
      <c r="T66" s="12"/>
    </row>
    <row r="67" spans="1:20" ht="12.75">
      <c r="A67" s="12"/>
      <c r="B67" s="12"/>
      <c r="C67" s="12"/>
      <c r="D67" s="12"/>
      <c r="E67" s="12"/>
      <c r="I67" s="12"/>
      <c r="R67" s="17"/>
      <c r="S67" s="17"/>
      <c r="T67" s="12"/>
    </row>
    <row r="68" spans="1:20" ht="12.75">
      <c r="A68" s="12"/>
      <c r="B68" s="12"/>
      <c r="C68" s="12"/>
      <c r="D68" s="12"/>
      <c r="E68" s="12"/>
      <c r="I68" s="12"/>
      <c r="R68" s="17"/>
      <c r="S68" s="17"/>
      <c r="T68" s="12"/>
    </row>
    <row r="69" spans="1:20" ht="12.75">
      <c r="A69" s="12"/>
      <c r="B69" s="12"/>
      <c r="C69" s="12"/>
      <c r="D69" s="12"/>
      <c r="E69" s="12"/>
      <c r="I69" s="12"/>
      <c r="R69" s="13"/>
      <c r="S69" s="17"/>
      <c r="T69" s="12"/>
    </row>
    <row r="70" spans="1:20" ht="12.75">
      <c r="A70" s="12"/>
      <c r="B70" s="12"/>
      <c r="C70" s="12"/>
      <c r="D70" s="12"/>
      <c r="E70" s="12"/>
      <c r="I70" s="12"/>
      <c r="R70" s="13"/>
      <c r="S70" s="13"/>
      <c r="T70" s="12"/>
    </row>
    <row r="71" spans="1:20" ht="12.75">
      <c r="A71" s="12"/>
      <c r="B71" s="12"/>
      <c r="C71" s="12"/>
      <c r="D71" s="12"/>
      <c r="E71" s="12"/>
      <c r="I71" s="12"/>
      <c r="R71" s="13"/>
      <c r="S71" s="13"/>
      <c r="T71" s="12"/>
    </row>
    <row r="72" spans="1:20" ht="12.75">
      <c r="A72" s="12"/>
      <c r="B72" s="12"/>
      <c r="C72" s="12"/>
      <c r="D72" s="12"/>
      <c r="E72" s="12"/>
      <c r="I72" s="12"/>
      <c r="R72" s="13"/>
      <c r="S72" s="13"/>
      <c r="T72" s="12"/>
    </row>
    <row r="73" spans="1:20" ht="12.75">
      <c r="A73" s="12"/>
      <c r="B73" s="12"/>
      <c r="C73" s="12"/>
      <c r="D73" s="12"/>
      <c r="E73" s="12"/>
      <c r="I73" s="12"/>
      <c r="R73" s="13"/>
      <c r="S73" s="13"/>
      <c r="T73" s="12"/>
    </row>
    <row r="74" spans="1:20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4"/>
      <c r="S74" s="14"/>
      <c r="T74" s="12"/>
    </row>
    <row r="75" spans="1:20" ht="12.75">
      <c r="A75" s="12"/>
      <c r="B75" s="12"/>
      <c r="C75" s="12"/>
      <c r="D75" s="12"/>
      <c r="E75" s="12"/>
      <c r="I75" s="12"/>
      <c r="R75" s="12"/>
      <c r="S75" s="12"/>
      <c r="T75" s="12"/>
    </row>
    <row r="76" spans="1:20" ht="12.75">
      <c r="A76" s="12"/>
      <c r="B76" s="12"/>
      <c r="C76" s="12"/>
      <c r="D76" s="12"/>
      <c r="E76" s="12"/>
      <c r="I76" s="12"/>
      <c r="R76" s="12"/>
      <c r="S76" s="12"/>
      <c r="T76" s="12"/>
    </row>
    <row r="77" spans="1:20" ht="12.75">
      <c r="A77" s="12"/>
      <c r="B77" s="12"/>
      <c r="C77" s="12"/>
      <c r="D77" s="12"/>
      <c r="E77" s="12"/>
      <c r="I77" s="12"/>
      <c r="R77" s="12"/>
      <c r="S77" s="12"/>
      <c r="T77" s="12"/>
    </row>
    <row r="78" spans="1:20" ht="12.75">
      <c r="A78" s="12"/>
      <c r="B78" s="12"/>
      <c r="C78" s="12"/>
      <c r="D78" s="12"/>
      <c r="E78" s="12"/>
      <c r="I78" s="12"/>
      <c r="R78" s="12"/>
      <c r="S78" s="12"/>
      <c r="T78" s="12"/>
    </row>
    <row r="79" spans="1:20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2"/>
      <c r="S79" s="12"/>
      <c r="T79" s="12"/>
    </row>
    <row r="80" spans="1:20" ht="12.75">
      <c r="A80" s="12"/>
      <c r="B80" s="12"/>
      <c r="C80" s="12"/>
      <c r="D80" s="12"/>
      <c r="E80" s="12"/>
      <c r="I80" s="12"/>
      <c r="R80" s="12"/>
      <c r="S80" s="12"/>
      <c r="T80" s="12"/>
    </row>
    <row r="81" spans="1:20" ht="12.75">
      <c r="A81" s="12"/>
      <c r="B81" s="12"/>
      <c r="C81" s="12"/>
      <c r="D81" s="12"/>
      <c r="E81" s="12"/>
      <c r="I81" s="12"/>
      <c r="R81" s="12"/>
      <c r="S81" s="12"/>
      <c r="T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7"/>
  <sheetViews>
    <sheetView zoomScale="80" zoomScaleNormal="80" zoomScalePageLayoutView="0" workbookViewId="0" topLeftCell="A1">
      <selection activeCell="E38" sqref="E38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8" width="11.421875" style="9" customWidth="1"/>
    <col min="9" max="9" width="10.7109375" style="0" customWidth="1"/>
    <col min="10" max="17" width="10.7109375" style="9" customWidth="1"/>
  </cols>
  <sheetData>
    <row r="1" spans="1:17" ht="13.5" thickBot="1">
      <c r="A1" s="53" t="s">
        <v>89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49">
        <v>39845</v>
      </c>
    </row>
    <row r="2" spans="1:18" ht="12.75">
      <c r="A2" s="54" t="s">
        <v>20</v>
      </c>
      <c r="B2" s="61">
        <f>(E2-F2)/F2</f>
        <v>0</v>
      </c>
      <c r="C2" s="104">
        <f>E2-'[1]EU - variety'!E2</f>
        <v>-5000</v>
      </c>
      <c r="D2" s="93">
        <f>F2-'[1]EU - variety'!F2</f>
        <v>-5000</v>
      </c>
      <c r="E2" s="57">
        <f>Italy!E$2</f>
        <v>5000</v>
      </c>
      <c r="F2" s="93">
        <f>Italy!F$2</f>
        <v>5000</v>
      </c>
      <c r="G2" s="93">
        <f>Italy!G$2</f>
        <v>5000</v>
      </c>
      <c r="H2" s="93">
        <f>Italy!H$2</f>
        <v>5000</v>
      </c>
      <c r="I2" s="93">
        <f>Italy!I$2</f>
        <v>5000</v>
      </c>
      <c r="J2" s="93">
        <f>Italy!J$2</f>
        <v>5000</v>
      </c>
      <c r="K2" s="93">
        <f>Italy!K$2</f>
        <v>5812</v>
      </c>
      <c r="L2" s="93">
        <f>Italy!L$2</f>
        <v>0</v>
      </c>
      <c r="M2" s="93">
        <f>Italy!M$2</f>
        <v>5015.605334857754</v>
      </c>
      <c r="N2" s="93">
        <f>Italy!N$2</f>
        <v>4012.106581635539</v>
      </c>
      <c r="O2" s="93">
        <f>Italy!O$2</f>
        <v>5000</v>
      </c>
      <c r="P2" s="93">
        <f>Italy!P$2</f>
        <v>5000</v>
      </c>
      <c r="Q2" s="95">
        <f>Italy!Q$2</f>
        <v>7000</v>
      </c>
      <c r="R2" s="92"/>
    </row>
    <row r="3" spans="1:18" ht="12.75">
      <c r="A3" s="54" t="s">
        <v>4</v>
      </c>
      <c r="B3" s="61">
        <f aca="true" t="shared" si="0" ref="B3:B32">(E3-F3)/F3</f>
        <v>-0.169126138842551</v>
      </c>
      <c r="C3" s="104">
        <f>E3-'[1]EU - variety'!E3</f>
        <v>-4176.9000000000015</v>
      </c>
      <c r="D3" s="93">
        <f>F3-'[1]EU - variety'!F3</f>
        <v>-6410</v>
      </c>
      <c r="E3" s="57">
        <f>Austria!E$3+Belgium!E$2+Denmark!E$2+France!E$4+Germany!E$2+Switzerland!E$2+Netherlands!E$2+Poland!E$2</f>
        <v>6475</v>
      </c>
      <c r="F3" s="93">
        <f>Austria!F$3+Belgium!F$2+Denmark!F$2+France!F$4+Germany!F$2+Switzerland!F$2+Netherlands!F$2+Poland!F$2</f>
        <v>7793</v>
      </c>
      <c r="G3" s="93">
        <f>Austria!G$3+Belgium!G$2+Denmark!G$2+France!G$4+Germany!G$2+Switzerland!G$2+Netherlands!G$2+Poland!G$2</f>
        <v>15722.532</v>
      </c>
      <c r="H3" s="93">
        <f>Austria!H$3+Belgium!H$2+Denmark!H$2+France!H$4+Germany!H$2+Switzerland!H$2+Netherlands!H$2+Poland!H$2</f>
        <v>1449</v>
      </c>
      <c r="I3" s="93">
        <f>Austria!I$3+Belgium!I$2+Denmark!I$2+France!I$4+Germany!I$2+Switzerland!I$2+Netherlands!I$2+Poland!I$2</f>
        <v>13160</v>
      </c>
      <c r="J3" s="93">
        <f>Austria!J$3+Belgium!J$2+Denmark!J$2+France!J$4+Germany!J$2+Switzerland!J$2+Netherlands!J$2+Poland!J$2</f>
        <v>14929.07</v>
      </c>
      <c r="K3" s="93">
        <f>Austria!K$3+Belgium!K$2+Denmark!K$2+France!K$4+Germany!K$2+Switzerland!K$2+Netherlands!K$2+Poland!K$2</f>
        <v>19704</v>
      </c>
      <c r="L3" s="93">
        <f>Austria!L$3+Belgium!L$2+Denmark!L$2+France!L$4+Germany!L$2+Switzerland!L$2+Netherlands!L$2+Poland!L$2</f>
        <v>10094.35</v>
      </c>
      <c r="M3" s="93">
        <f>Austria!M$3+Belgium!M$2+Denmark!M$2+France!M$4+Germany!M$2+Switzerland!M$2+Netherlands!M$2+Poland!M$2</f>
        <v>7128</v>
      </c>
      <c r="N3" s="93">
        <f>Austria!N$3+Belgium!N$2+Denmark!N$2+France!N$4+Germany!N$2+Switzerland!N$2+Netherlands!N$2+Poland!N$2</f>
        <v>11393</v>
      </c>
      <c r="O3" s="93">
        <f>Austria!O$3+Belgium!O$2+Denmark!O$2+France!O$4+Germany!O$2+Netherlands!O$2+Poland!O$2+Switzerland!O$2</f>
        <v>10319</v>
      </c>
      <c r="P3" s="93">
        <f>Austria!P$3+Belgium!P$2+Denmark!P$2+France!P$4+Germany!P$2+Switzerland!P$2+Netherlands!P$2+Poland!P$2</f>
        <v>14385</v>
      </c>
      <c r="Q3" s="95">
        <f>Austria!Q$3+Belgium!Q$2+Denmark!Q$2+Germany!Q$2+Switzerland!Q$2+Netherlands!Q$2+Poland!Q$2</f>
        <v>20435</v>
      </c>
      <c r="R3" s="3"/>
    </row>
    <row r="4" spans="1:17" ht="12.75">
      <c r="A4" s="54" t="s">
        <v>11</v>
      </c>
      <c r="B4" s="61">
        <f t="shared" si="0"/>
        <v>-0.13276282099087675</v>
      </c>
      <c r="C4" s="104">
        <f>E4-'[1]EU - variety'!E4</f>
        <v>-20522.15000000001</v>
      </c>
      <c r="D4" s="93">
        <f>F4-'[1]EU - variety'!F4</f>
        <v>-26563</v>
      </c>
      <c r="E4" s="57">
        <f>Austria!E$4+France!E$5+Germany!E$3+Italy!E$3+Switzerland!E$3+UK!E$2+'Czech Republic'!E2</f>
        <v>104659.05</v>
      </c>
      <c r="F4" s="93">
        <f>Austria!F$4+France!F$5+Germany!F$3+Italy!F$3+Switzerland!F$3+UK!F$2+'Czech Republic'!F2</f>
        <v>120681</v>
      </c>
      <c r="G4" s="93">
        <f>Austria!G$4+France!G$5+Germany!G$3+Italy!G$3+Switzerland!G$3+UK!G$2+'Czech Republic'!G2</f>
        <v>134757.4</v>
      </c>
      <c r="H4" s="93">
        <f>Austria!H$4+France!H$5+Germany!H$3+Italy!H$3+Switzerland!H$3+UK!H$2+'Czech Republic'!H2</f>
        <v>81183</v>
      </c>
      <c r="I4" s="93">
        <f>Austria!I$4+France!I$5+Germany!I$3+Italy!I$3+Switzerland!I$3+UK!I$2+'Czech Republic'!I2</f>
        <v>124737.85999999999</v>
      </c>
      <c r="J4" s="93">
        <f>Austria!J$4+France!J$5+Germany!J$3+Italy!J$3+Switzerland!J$3+UK!J$2+'Czech Republic'!J2</f>
        <v>143705.67</v>
      </c>
      <c r="K4" s="93">
        <f>Austria!K$4+France!K$5+Germany!K$3+Italy!K$3+Switzerland!K$3+UK!K$2+'Czech Republic'!K2</f>
        <v>128530</v>
      </c>
      <c r="L4" s="93">
        <f>Austria!L$4+France!L$5+Germany!L$3+Italy!L$3+Switzerland!L$3+UK!L$2+'Czech Republic'!L2</f>
        <v>136947.91999999998</v>
      </c>
      <c r="M4" s="93">
        <f>Austria!M$4+France!M$5+Germany!M$3+Italy!M$3+Switzerland!M$3+UK!M$2+'Czech Republic'!M2</f>
        <v>99829.11843918992</v>
      </c>
      <c r="N4" s="93">
        <f>Austria!N$4+France!N$5+Germany!N$3+Italy!N$3+Switzerland!N$3+UK!N$2+'Czech Republic'!N2</f>
        <v>144643.73308573067</v>
      </c>
      <c r="O4" s="93">
        <f>Austria!O$4+France!O$5+Germany!O$3+Italy!O$3+Switzerland!O$3+UK!O$2+'Czech Republic'!O2</f>
        <v>130993</v>
      </c>
      <c r="P4" s="93">
        <f>Austria!P$4+France!P$5+Germany!P$3+Italy!P$3+Switzerland!P$3+UK!P$2+'Czech Republic'!P2</f>
        <v>154620</v>
      </c>
      <c r="Q4" s="95">
        <f>Austria!Q$4+France!Q$5+Germany!Q$3+Italy!Q$3+Switzerland!Q$3+UK!Q$2+'Czech Republic'!Q2</f>
        <v>83602</v>
      </c>
    </row>
    <row r="5" spans="1:17" ht="12.75">
      <c r="A5" s="54" t="s">
        <v>35</v>
      </c>
      <c r="B5" s="61">
        <f t="shared" si="0"/>
        <v>0.022165068973579612</v>
      </c>
      <c r="C5" s="104">
        <f>E5-'[1]EU - variety'!E5</f>
        <v>80</v>
      </c>
      <c r="D5" s="93">
        <f>F5-'[1]EU - variety'!F5</f>
        <v>-10349</v>
      </c>
      <c r="E5" s="57">
        <f>UK!E$3</f>
        <v>21859</v>
      </c>
      <c r="F5" s="93">
        <f>UK!F$3</f>
        <v>21385</v>
      </c>
      <c r="G5" s="93">
        <f>UK!G$3</f>
        <v>28905</v>
      </c>
      <c r="H5" s="93">
        <f>UK!H$3</f>
        <v>28000</v>
      </c>
      <c r="I5" s="93">
        <f>UK!I$3</f>
        <v>29000</v>
      </c>
      <c r="J5" s="93">
        <f>UK!J$3</f>
        <v>29500</v>
      </c>
      <c r="K5" s="93">
        <f>UK!K$3</f>
        <v>45000</v>
      </c>
      <c r="L5" s="93">
        <f>UK!L$3</f>
        <v>42000</v>
      </c>
      <c r="M5" s="93">
        <f>UK!M$3</f>
        <v>19000</v>
      </c>
      <c r="N5" s="93">
        <f>UK!N$3</f>
        <v>43000</v>
      </c>
      <c r="O5" s="93">
        <f>UK!O$3</f>
        <v>53000</v>
      </c>
      <c r="P5" s="93">
        <f>UK!P$3</f>
        <v>44000</v>
      </c>
      <c r="Q5" s="95">
        <f>UK!Q$3</f>
        <v>41000</v>
      </c>
    </row>
    <row r="6" spans="1:17" ht="12.75">
      <c r="A6" s="54" t="s">
        <v>28</v>
      </c>
      <c r="B6" s="61">
        <f t="shared" si="0"/>
        <v>0.6771496815286624</v>
      </c>
      <c r="C6" s="104">
        <f>E6-'[1]EU - variety'!E6</f>
        <v>-95</v>
      </c>
      <c r="D6" s="93">
        <f>F6-'[1]EU - variety'!F6</f>
        <v>-421</v>
      </c>
      <c r="E6" s="57">
        <f>France!E6+UK!E4</f>
        <v>4213</v>
      </c>
      <c r="F6" s="93">
        <f>France!F6+UK!F4</f>
        <v>2512</v>
      </c>
      <c r="G6" s="93">
        <f>France!G6+UK!G4</f>
        <v>2256</v>
      </c>
      <c r="H6" s="93">
        <f>France!H6+UK!H4</f>
        <v>956</v>
      </c>
      <c r="I6" s="93">
        <f>France!I6+UK!I4</f>
        <v>0</v>
      </c>
      <c r="J6" s="93">
        <f>France!J6+UK!J4</f>
        <v>1900</v>
      </c>
      <c r="K6" s="93">
        <f>France!K6+UK!K4</f>
        <v>1000</v>
      </c>
      <c r="L6" s="93">
        <f>France!L6+UK!L4</f>
        <v>1100</v>
      </c>
      <c r="M6" s="93">
        <f>France!M6+UK!M4</f>
        <v>0</v>
      </c>
      <c r="N6" s="93">
        <f>France!N6+UK!N4</f>
        <v>727</v>
      </c>
      <c r="O6" s="93">
        <f>France!O6+UK!O4</f>
        <v>2023</v>
      </c>
      <c r="P6" s="93">
        <f>France!P6+UK!P4</f>
        <v>2642</v>
      </c>
      <c r="Q6" s="95">
        <f>UK!Q4</f>
        <v>700</v>
      </c>
    </row>
    <row r="7" spans="1:17" ht="12.75">
      <c r="A7" s="54" t="s">
        <v>32</v>
      </c>
      <c r="B7" s="61"/>
      <c r="C7" s="104">
        <f>E7-'[1]EU - variety'!E7</f>
        <v>0</v>
      </c>
      <c r="D7" s="93">
        <f>F7-'[1]EU - variety'!F7</f>
        <v>0</v>
      </c>
      <c r="E7" s="57">
        <f>Poland!E$3</f>
        <v>0</v>
      </c>
      <c r="F7" s="93">
        <f>Poland!F$3</f>
        <v>0</v>
      </c>
      <c r="G7" s="93">
        <f>Poland!G$3</f>
        <v>0</v>
      </c>
      <c r="H7" s="93">
        <f>Poland!H$3</f>
        <v>0</v>
      </c>
      <c r="I7" s="93">
        <f>Poland!I$3</f>
        <v>0</v>
      </c>
      <c r="J7" s="93">
        <f>Poland!J$3</f>
        <v>0</v>
      </c>
      <c r="K7" s="93">
        <f>Poland!K$3</f>
        <v>0</v>
      </c>
      <c r="L7" s="93">
        <f>Poland!L$3</f>
        <v>500</v>
      </c>
      <c r="M7" s="93">
        <f>Poland!M$3</f>
        <v>2000</v>
      </c>
      <c r="N7" s="93">
        <f>Poland!N$3</f>
        <v>2000</v>
      </c>
      <c r="O7" s="93">
        <f>Poland!O$3</f>
        <v>12000</v>
      </c>
      <c r="P7" s="93">
        <f>Poland!P$3</f>
        <v>15000</v>
      </c>
      <c r="Q7" s="95">
        <f>Poland!Q$3</f>
        <v>10000</v>
      </c>
    </row>
    <row r="8" spans="1:17" ht="12.75">
      <c r="A8" s="54" t="s">
        <v>5</v>
      </c>
      <c r="B8" s="61">
        <f t="shared" si="0"/>
        <v>-0.40291089811856584</v>
      </c>
      <c r="C8" s="104">
        <f>E8-'[1]EU - variety'!E8</f>
        <v>-1597</v>
      </c>
      <c r="D8" s="93">
        <f>F8-'[1]EU - variety'!F8</f>
        <v>-1496</v>
      </c>
      <c r="E8" s="57">
        <f>Belgium!E$3+Denmark!E$4+Germany!E$4+Switzerland!E$4+UK!E$5</f>
        <v>1682</v>
      </c>
      <c r="F8" s="93">
        <f>Belgium!F$3+Denmark!F$4+Germany!F$4+Switzerland!F$4+UK!F$5</f>
        <v>2817</v>
      </c>
      <c r="G8" s="93">
        <f>Belgium!G$3+Denmark!G$4+Germany!G$4+Switzerland!G$4+UK!G$5</f>
        <v>4260</v>
      </c>
      <c r="H8" s="93">
        <f>Belgium!H$3+Denmark!H$4+Germany!H$4+Switzerland!H$4+UK!H$5</f>
        <v>2051</v>
      </c>
      <c r="I8" s="93">
        <f>Belgium!I$3+Denmark!I$4+Germany!I$4+Switzerland!I$4+UK!I$5</f>
        <v>5460</v>
      </c>
      <c r="J8" s="93">
        <f>Belgium!J$3+Denmark!J$4+Germany!J$4+Switzerland!J$4+UK!J$5</f>
        <v>9100</v>
      </c>
      <c r="K8" s="93">
        <f>Belgium!K$3+Denmark!K$4+Germany!K$4+Switzerland!K$4+UK!K$5</f>
        <v>4665</v>
      </c>
      <c r="L8" s="93">
        <f>Belgium!L$3+Denmark!L$4+Germany!L$4+Switzerland!L$4+UK!L$5</f>
        <v>10928</v>
      </c>
      <c r="M8" s="93">
        <f>Belgium!M$3+Denmark!M$4+Germany!M$4+Switzerland!M$4+UK!M$5</f>
        <v>4512</v>
      </c>
      <c r="N8" s="93">
        <f>Belgium!N$3+Denmark!N$4+Germany!N$4+Switzerland!N$4+UK!N$5</f>
        <v>9258</v>
      </c>
      <c r="O8" s="93">
        <f>Belgium!O$3+Denmark!O$4+Germany!O$4+Switzerland!O$4+UK!O$5</f>
        <v>12114</v>
      </c>
      <c r="P8" s="93">
        <f>Belgium!P$3+Denmark!P$4+Germany!P$4+Switzerland!P$4+UK!P$5</f>
        <v>14244</v>
      </c>
      <c r="Q8" s="95">
        <f>Belgium!Q$3+Denmark!Q$4+Germany!Q$4+Switzerland!Q$4+UK!Q$5</f>
        <v>9811</v>
      </c>
    </row>
    <row r="9" spans="1:17" ht="12.75">
      <c r="A9" s="54" t="s">
        <v>60</v>
      </c>
      <c r="B9" s="61">
        <f t="shared" si="0"/>
        <v>0.13108654207120932</v>
      </c>
      <c r="C9" s="104">
        <f>E9-'[1]EU - variety'!E9</f>
        <v>-34066.600000000006</v>
      </c>
      <c r="D9" s="93">
        <f>F9-'[1]EU - variety'!F9</f>
        <v>-36712</v>
      </c>
      <c r="E9" s="57">
        <f>France!E$8+Italy!E$4</f>
        <v>153661.5</v>
      </c>
      <c r="F9" s="93">
        <f>France!F$8+Italy!F$4</f>
        <v>135853</v>
      </c>
      <c r="G9" s="93">
        <f>France!G$8+Italy!G$4</f>
        <v>148552</v>
      </c>
      <c r="H9" s="93">
        <f>France!H$8+Italy!H$4</f>
        <v>123171</v>
      </c>
      <c r="I9" s="93">
        <f>France!I$8+Italy!I$4</f>
        <v>139319.4</v>
      </c>
      <c r="J9" s="93">
        <f>France!J$8+Italy!J$4</f>
        <v>122617.6</v>
      </c>
      <c r="K9" s="93">
        <f>France!K$8+Italy!K$4</f>
        <v>130930</v>
      </c>
      <c r="L9" s="93">
        <f>France!L$8+Italy!L$4</f>
        <v>98723</v>
      </c>
      <c r="M9" s="93">
        <f>France!M$8+Italy!M$4</f>
        <v>75651.51698146261</v>
      </c>
      <c r="N9" s="93">
        <f>France!N$8+Italy!N$4</f>
        <v>104698.8928671066</v>
      </c>
      <c r="O9" s="93">
        <f>Italy!O$4+France!O$8</f>
        <v>79815</v>
      </c>
      <c r="P9" s="93"/>
      <c r="Q9" s="95"/>
    </row>
    <row r="10" spans="1:17" ht="12.75">
      <c r="A10" s="54" t="s">
        <v>2</v>
      </c>
      <c r="B10" s="61">
        <f t="shared" si="0"/>
        <v>-0.270198151578046</v>
      </c>
      <c r="C10" s="104">
        <f>E10-'[1]EU - variety'!E10</f>
        <v>-26914.100000000006</v>
      </c>
      <c r="D10" s="93">
        <f>F10-'[1]EU - variety'!F10</f>
        <v>-35267</v>
      </c>
      <c r="E10" s="57">
        <f>Austria!E$5+Belgium!E$4+Denmark!E$5+France!E$9+Germany!E$5+Italy!E$5+Switzerland!E$5+Netherlands!E$3+Poland!E$4</f>
        <v>78412.1</v>
      </c>
      <c r="F10" s="93">
        <f>Austria!F$5+Belgium!F$4+Denmark!F$5+France!F$9+Germany!F$5+Italy!F$5+Switzerland!F$5+Netherlands!F$3+Poland!F$4</f>
        <v>107443</v>
      </c>
      <c r="G10" s="93">
        <f>Austria!G$5+Belgium!G$4+Denmark!G$5+France!G$9+Germany!G$5+Italy!G$5+Switzerland!G$5+Netherlands!G$3+Poland!G$4</f>
        <v>94876.888</v>
      </c>
      <c r="H10" s="93">
        <f>Austria!H$5+Belgium!H$4+Denmark!H$5+France!H$9+Germany!H$5+Italy!H$5+Switzerland!H$5+Netherlands!H$3+Poland!H$4</f>
        <v>62932</v>
      </c>
      <c r="I10" s="93">
        <f>Austria!I$5+Belgium!I$4+Denmark!I$5+France!I$9+Germany!I$5+Italy!I$5+Switzerland!I$5+Netherlands!I$3+Poland!I$4</f>
        <v>101214.48999999999</v>
      </c>
      <c r="J10" s="93">
        <f>Austria!J$5+Belgium!J$4+Denmark!J$5+France!J$9+Germany!J$5+Italy!J$5+Switzerland!J$5+Netherlands!J$3+Poland!J$4</f>
        <v>113263.91</v>
      </c>
      <c r="K10" s="93">
        <f>Austria!K$5+Belgium!K$4+Denmark!K$5+France!K$9+Germany!K$5+Italy!K$5+Switzerland!K$5+Netherlands!K$3+Poland!K$4</f>
        <v>123357</v>
      </c>
      <c r="L10" s="93">
        <f>Austria!L$5+Belgium!L$4+Denmark!L$5+France!L$9+Germany!L$5+Italy!L$5+Switzerland!L$5+Netherlands!L$3+Poland!L$4</f>
        <v>93237.03</v>
      </c>
      <c r="M10" s="93">
        <f>Austria!M$5+Belgium!M$4+Denmark!M$5+France!M$9+Germany!M$5+Italy!M$5+Switzerland!M$5+Netherlands!M$3+Poland!M$4</f>
        <v>86698</v>
      </c>
      <c r="N10" s="93">
        <f>Austria!N$5+Belgium!N$4+Denmark!N$5+France!N$9+Germany!N$5+Italy!N$5+Switzerland!N$5+Netherlands!N$3+Poland!N$4</f>
        <v>121577.05447961736</v>
      </c>
      <c r="O10" s="93">
        <f>Austria!O$5+Belgium!O$4+Denmark!O$5+France!O$9+Germany!O$5+Italy!O$5+Switzerland!O$5+Netherlands!O$3+Poland!O$4</f>
        <v>89971</v>
      </c>
      <c r="P10" s="93">
        <f>Austria!P$5+Belgium!P$4+Denmark!P$5+France!P$9+Germany!P$5+Italy!P$5+Switzerland!P$5+Netherlands!P$3+Poland!P$4</f>
        <v>151320</v>
      </c>
      <c r="Q10" s="95">
        <f>Austria!Q$5+Belgium!Q$4+Denmark!Q$5+Germany!Q$5+Italy!Q$5+Switzerland!Q$5+Netherlands!Q$3+Poland!Q$4</f>
        <v>110505</v>
      </c>
    </row>
    <row r="11" spans="1:17" ht="12.75">
      <c r="A11" s="54" t="s">
        <v>12</v>
      </c>
      <c r="B11" s="61">
        <f t="shared" si="0"/>
        <v>-0.002238238623991622</v>
      </c>
      <c r="C11" s="104">
        <f>E11-'[1]EU - variety'!E11</f>
        <v>-22709.785344058982</v>
      </c>
      <c r="D11" s="93">
        <f>F11-'[1]EU - variety'!F11</f>
        <v>-27085.03930288955</v>
      </c>
      <c r="E11" s="57">
        <f>Austria!E$7+Denmark!E$6+France!E$10+Germany!E$6+Italy!E$6+Spain!E$2</f>
        <v>129260.50151161868</v>
      </c>
      <c r="F11" s="93">
        <f>Austria!F$7+Denmark!F$6+France!F$10+Germany!F$6+Italy!F$6+Spain!F$2</f>
        <v>129550.46636920236</v>
      </c>
      <c r="G11" s="93">
        <f>Austria!G$7+Denmark!G$6+France!G$10+Germany!G$6+Italy!G$6+Spain!G$2</f>
        <v>137043.08000000002</v>
      </c>
      <c r="H11" s="93">
        <f>Austria!H$7+Denmark!H$6+France!H$10+Germany!H$6+Italy!H$6+Spain!H$2</f>
        <v>106041</v>
      </c>
      <c r="I11" s="93">
        <f>Austria!I$7+Denmark!I$6+France!I$10+Germany!I$6+Italy!I$6+Spain!I$2</f>
        <v>130007.38050450082</v>
      </c>
      <c r="J11" s="93">
        <f>Austria!J$7+Denmark!J$6+France!J$10+Germany!J$6+Italy!J$6+Spain!J$2</f>
        <v>152440.3065048188</v>
      </c>
      <c r="K11" s="93">
        <f>Austria!K$7+Denmark!K$6+France!K$10+Germany!K$6+Italy!K$6+Spain!K$2</f>
        <v>139018</v>
      </c>
      <c r="L11" s="93">
        <f>Austria!L$7+Denmark!L$6+France!L$10+Germany!L$6+Italy!L$6+Spain!L$2</f>
        <v>144178.90006741683</v>
      </c>
      <c r="M11" s="93">
        <f>Austria!M$7+Denmark!M$6+France!M$10+Germany!M$6+Italy!M$6+Spain!M$2</f>
        <v>85263.01735262033</v>
      </c>
      <c r="N11" s="93">
        <f>Austria!N$7+Denmark!N$6+France!N$10+Germany!N$6+Italy!N$6+Spain!N$2</f>
        <v>124273.259465454</v>
      </c>
      <c r="O11" s="93">
        <f>Austria!O$7+Denmark!O$6+France!O$10+Germany!O$6+Italy!O$6+Spain!O$2</f>
        <v>128268</v>
      </c>
      <c r="P11" s="93">
        <f>Austria!P$7+Denmark!P$6+France!P$10+Germany!P$6+Italy!P$6+Spain!P$2</f>
        <v>117727</v>
      </c>
      <c r="Q11" s="95">
        <f>Austria!Q$7+Denmark!Q$6+Germany!Q$6+Italy!Q$6+Spain!Q$2</f>
        <v>89293</v>
      </c>
    </row>
    <row r="12" spans="1:17" ht="12.75">
      <c r="A12" s="54" t="s">
        <v>9</v>
      </c>
      <c r="B12" s="61">
        <f t="shared" si="0"/>
        <v>0.04512541391105039</v>
      </c>
      <c r="C12" s="104">
        <f>E12-'[1]EU - variety'!E12</f>
        <v>-115589.49132717779</v>
      </c>
      <c r="D12" s="93">
        <f>F12-'[1]EU - variety'!F12</f>
        <v>-114393.85665630305</v>
      </c>
      <c r="E12" s="57">
        <f>Austria!E$8+'Czech Republic'!E$3+Denmark!E$7+France!E$11+Germany!E$7+Italy!E$7+Spain!E$3+Switzerland!E$6+UK!E$6+Poland!E$5</f>
        <v>325568.4958019295</v>
      </c>
      <c r="F12" s="93">
        <f>Austria!F$8+'Czech Republic'!F$3+Denmark!F$7+France!F$11+Germany!F$7+Italy!F$7+Spain!F$3+Switzerland!F$6+UK!F$6+Poland!F$5</f>
        <v>311511.41429390054</v>
      </c>
      <c r="G12" s="93">
        <f>Austria!G$8+'Czech Republic'!G$3+Denmark!G$7+France!G$11+Germany!G$7+Italy!G$7+Spain!G$3+Switzerland!G$6+UK!G$6+Poland!G$5</f>
        <v>315211.79000000004</v>
      </c>
      <c r="H12" s="93">
        <f>Austria!H$8+'Czech Republic'!H$3+Denmark!H$7+France!H$11+Germany!H$7+Italy!H$7+Spain!H$3+Switzerland!H$6+UK!H$6+Poland!H$5</f>
        <v>187168</v>
      </c>
      <c r="I12" s="93">
        <f>Austria!I$8+'Czech Republic'!I$3+Denmark!I$7+France!I$11+Germany!I$7+Italy!I$7+Spain!I$3+Switzerland!I$6+UK!I$6+Poland!I$5</f>
        <v>193498.49594032444</v>
      </c>
      <c r="J12" s="93">
        <f>Austria!J$8+'Czech Republic'!J$3+Denmark!J$7+France!J$11+Germany!J$7+Italy!J$7+Spain!J$3+Switzerland!J$6+UK!J$6+Poland!J$5</f>
        <v>209627.15861559927</v>
      </c>
      <c r="K12" s="93">
        <f>Austria!K$8+'Czech Republic'!K$3+Denmark!K$7+France!K$11+Germany!K$7+Italy!K$7+Spain!K$3+Switzerland!K$6+UK!K$6+Poland!K$5</f>
        <v>194439</v>
      </c>
      <c r="L12" s="93">
        <f>Austria!L$8+'Czech Republic'!L$3+Denmark!L$7+France!L$11+Germany!L$7+Italy!L$7+Spain!L$3+Switzerland!L$6+UK!L$6+Poland!L$5</f>
        <v>217745.1728476515</v>
      </c>
      <c r="M12" s="93">
        <f>Austria!M$8+'Czech Republic'!M$3+Denmark!M$7+France!M$11+Germany!M$7+Italy!M$7+Spain!M$3+Switzerland!M$6+UK!M$6+Poland!M$5</f>
        <v>144209.90134499065</v>
      </c>
      <c r="N12" s="93">
        <f>Austria!N$8+'Czech Republic'!N$3+Denmark!N$7+France!N$11+Germany!N$7+Italy!N$7+Spain!N$3+Switzerland!N$6+UK!N$6+Poland!N$5</f>
        <v>193581.22640459047</v>
      </c>
      <c r="O12" s="93">
        <f>Austria!O$8+'Czech Republic'!O$3+Denmark!O$7+France!O$11+Germany!O$7+Italy!O$7+Spain!O$3+Switzerland!O$6+UK!O$6+Poland!O$5</f>
        <v>204624</v>
      </c>
      <c r="P12" s="93">
        <f>Austria!P$8+'Czech Republic'!P$3+Denmark!P$7+France!P$11+Germany!P$7+Italy!P$7+Spain!P$3+Switzerland!P$6+UK!P$6+Poland!P$5</f>
        <v>193185</v>
      </c>
      <c r="Q12" s="95">
        <f>Austria!Q$8+'Czech Republic'!Q$3+Denmark!Q$7+Germany!Q$7+Italy!Q$7+Spain!Q$3+Switzerland!Q$6+UK!Q$6+Poland!Q$5</f>
        <v>139012</v>
      </c>
    </row>
    <row r="13" spans="1:17" ht="12.75">
      <c r="A13" s="54" t="s">
        <v>14</v>
      </c>
      <c r="B13" s="61">
        <f t="shared" si="0"/>
        <v>0.0038006497885122296</v>
      </c>
      <c r="C13" s="104">
        <f>E13-'[1]EU - variety'!E13</f>
        <v>-5234</v>
      </c>
      <c r="D13" s="93">
        <f>F13-'[1]EU - variety'!F13</f>
        <v>-4919</v>
      </c>
      <c r="E13" s="57">
        <f>Austria!E$9+Belgium!E$5+'Czech Republic'!E$4+Denmark!E$8+Germany!E$8+Italy!E$8+Poland!E$6</f>
        <v>65500</v>
      </c>
      <c r="F13" s="93">
        <f>Austria!F$9+Belgium!F$5+'Czech Republic'!F$4+Denmark!F$8+Germany!F$8+Italy!F$8+Poland!F$6</f>
        <v>65252</v>
      </c>
      <c r="G13" s="93">
        <f>Austria!G$9+Belgium!G$5+'Czech Republic'!G$4+Denmark!G$8+Germany!G$8+Italy!G$8+Poland!G$6</f>
        <v>81702</v>
      </c>
      <c r="H13" s="93">
        <f>Austria!H$9+Belgium!H$5+'Czech Republic'!H$4+Denmark!H$8+Germany!H$8+Italy!H$8+Poland!H$6</f>
        <v>80528</v>
      </c>
      <c r="I13" s="93">
        <f>Austria!I$9+Belgium!I$5+'Czech Republic'!I$4+Denmark!I$8+Germany!I$8+Italy!I$8+Poland!I$6</f>
        <v>80961</v>
      </c>
      <c r="J13" s="93">
        <f>Austria!J$9+Belgium!J$5+'Czech Republic'!J$4+Denmark!J$8+Germany!J$8+Italy!J$8+Poland!J$6</f>
        <v>81847</v>
      </c>
      <c r="K13" s="93">
        <f>Austria!K$9+Belgium!K$5+'Czech Republic'!K$4+Denmark!K$8+Germany!K$8+Italy!K$8+Poland!K$6</f>
        <v>73667</v>
      </c>
      <c r="L13" s="93">
        <f>Austria!L$9+Belgium!L$5+'Czech Republic'!L$4+Denmark!L$8+Germany!L$8+Italy!L$8+Poland!L$6</f>
        <v>82770</v>
      </c>
      <c r="M13" s="93">
        <f>Austria!M$9+Belgium!M$5+'Czech Republic'!M$4+Denmark!M$8+Germany!M$8+Italy!M$8+Poland!M$6</f>
        <v>85999.04057387063</v>
      </c>
      <c r="N13" s="93">
        <f>Austria!N$9+Belgium!N$5+'Czech Republic'!N$4+Denmark!N$8+Germany!N$8+Italy!N$8+Poland!N$6</f>
        <v>81144.1029059439</v>
      </c>
      <c r="O13" s="93">
        <f>Austria!O$9+Belgium!O$5+'Czech Republic'!O$4+Denmark!O$8+Germany!O$8+Italy!O$8+Poland!O$6</f>
        <v>26145</v>
      </c>
      <c r="P13" s="93">
        <f>Austria!P$9+Belgium!P$5+'Czech Republic'!P$4+Denmark!P$8+Germany!P$8+Italy!P$8+Poland!P$6</f>
        <v>24314</v>
      </c>
      <c r="Q13" s="95">
        <f>Austria!Q$9+Belgium!Q$5+'Czech Republic'!Q$4+Denmark!Q$8+Germany!Q$8+Italy!Q$8+Poland!Q$6</f>
        <v>22858</v>
      </c>
    </row>
    <row r="14" spans="1:17" ht="12.75">
      <c r="A14" s="54" t="s">
        <v>3</v>
      </c>
      <c r="B14" s="61">
        <f t="shared" si="0"/>
        <v>-0.17783622267890947</v>
      </c>
      <c r="C14" s="104">
        <f>E14-'[1]EU - variety'!E14</f>
        <v>-118651.6257220417</v>
      </c>
      <c r="D14" s="93">
        <f>F14-'[1]EU - variety'!F14</f>
        <v>-125736.41730278137</v>
      </c>
      <c r="E14" s="57">
        <f>Austria!E$10+Belgium!E$6+'Czech Republic'!E$5+France!E$12+Germany!E$9+Italy!E$9+Spain!E$4+Switzerland!E$8+Netherlands!E$4+Poland!E$7</f>
        <v>767541.7914071782</v>
      </c>
      <c r="F14" s="93">
        <f>Austria!F$10+Belgium!F$6+'Czech Republic'!F$5+France!F$12+Germany!F$9+Italy!F$9+Spain!F$4+Switzerland!F$8+Netherlands!F$4+Poland!F$7</f>
        <v>933563.1325283014</v>
      </c>
      <c r="G14" s="93">
        <f>Austria!G$10+Belgium!G$6+'Czech Republic'!G$5+France!G$12+Germany!G$9+Italy!G$9+Spain!G$4+Switzerland!G$8+Netherlands!G$4+Poland!G$7</f>
        <v>940480.9060000001</v>
      </c>
      <c r="H14" s="93">
        <f>Austria!H$10+Belgium!H$6+'Czech Republic'!H$5+France!H$12+Germany!H$9+Italy!H$9+Spain!H$4+Switzerland!H$8+Netherlands!H$4+Poland!H$7</f>
        <v>702712</v>
      </c>
      <c r="I14" s="93">
        <f>Austria!I$10+Belgium!I$6+'Czech Republic'!I$5+France!I$12+Germany!I$9+Italy!I$9+Spain!I$4+Switzerland!I$8+Netherlands!I$4+Poland!I$7</f>
        <v>1071433.377577058</v>
      </c>
      <c r="J14" s="93">
        <f>Austria!J$10+Belgium!J$6+'Czech Republic'!J$5+France!J$12+Germany!J$9+Italy!J$9+Spain!J$4+Switzerland!J$8+Netherlands!J$4+Poland!J$7</f>
        <v>1073531.2079331276</v>
      </c>
      <c r="K14" s="93">
        <f>Austria!K$10+Belgium!K$6+'Czech Republic'!K$5+France!K$12+Germany!K$9+Italy!K$9+Spain!K$4+Switzerland!K$8+Netherlands!K$4+Poland!K$7</f>
        <v>1128906</v>
      </c>
      <c r="L14" s="93">
        <f>Austria!L$10+Belgium!L$6+'Czech Republic'!L$5+France!L$12+Germany!L$9+Italy!L$9+Spain!L$4+Switzerland!L$8+Netherlands!L$4+Poland!L$7</f>
        <v>1018295.1443014734</v>
      </c>
      <c r="M14" s="93">
        <f>Austria!M$10+Belgium!M$6+'Czech Republic'!M$5+France!M$12+Germany!M$9+Italy!M$9+Spain!M$4+Switzerland!M$8+Netherlands!M$4+Poland!M$7</f>
        <v>882361.8823037437</v>
      </c>
      <c r="N14" s="93">
        <f>Austria!N$10+Belgium!N$6+'Czech Republic'!N$5+France!N$12+Germany!N$9+Italy!N$9+Spain!N$4+Switzerland!N$8+Netherlands!N$4+Poland!N$7</f>
        <v>1071007.0868270807</v>
      </c>
      <c r="O14" s="93">
        <f>Austria!O$10+Belgium!O$6+'Czech Republic'!O$5+France!O$12+Germany!O$9+Italy!O$9+Poland!O$7+Spain!O$4+Switzerland!O$8+Netherlands!O$4</f>
        <v>1005461</v>
      </c>
      <c r="P14" s="93">
        <f>Austria!P$10+Belgium!P$6+'Czech Republic'!P$5+France!P$12+Germany!P$9+Italy!P$9+Spain!P$4+Switzerland!P$8+Netherlands!P$4+Poland!P$7</f>
        <v>1029587</v>
      </c>
      <c r="Q14" s="95">
        <f>Austria!Q$10+Belgium!Q$6+'Czech Republic'!Q$5+Germany!Q$9+Italy!Q$9+Spain!Q$4+Switzerland!Q$8+Netherlands!Q$4+Poland!Q$7</f>
        <v>892974.0021436193</v>
      </c>
    </row>
    <row r="15" spans="1:17" ht="12.75">
      <c r="A15" s="54" t="s">
        <v>17</v>
      </c>
      <c r="B15" s="61">
        <f t="shared" si="0"/>
        <v>0.16372671268777844</v>
      </c>
      <c r="C15" s="104">
        <f>E15-'[1]EU - variety'!E15</f>
        <v>-29631.664507544017</v>
      </c>
      <c r="D15" s="93">
        <f>F15-'[1]EU - variety'!F15</f>
        <v>-29494.72073122961</v>
      </c>
      <c r="E15" s="57">
        <f>Austria!E$11+France!E$14+Italy!E$10+Spain!E$5+Switzerland!E$9+Denmark!E$9</f>
        <v>149623.0574996432</v>
      </c>
      <c r="F15" s="93">
        <f>Austria!F$11+France!F$14+Italy!F$10+Spain!F$5+Switzerland!F$9+Denmark!F$9</f>
        <v>128572.33220510103</v>
      </c>
      <c r="G15" s="93">
        <f>Austria!G$11+France!G$14+Italy!G$10+Spain!G$5+Switzerland!G$9</f>
        <v>142392.98</v>
      </c>
      <c r="H15" s="93">
        <f>Austria!H$11+France!H$14+Italy!H$10+Spain!H$5+Switzerland!H$9</f>
        <v>143280</v>
      </c>
      <c r="I15" s="93">
        <f>Austria!I$11+France!I$14+Italy!I$10+Spain!I$5+Switzerland!I$9</f>
        <v>132933.56559578318</v>
      </c>
      <c r="J15" s="93">
        <f>Austria!J$11+France!J$14+Italy!J$10+Spain!J$5+Switzerland!J$9</f>
        <v>160343.2897697354</v>
      </c>
      <c r="K15" s="93">
        <f>Austria!K$11+France!K$14+Italy!K$10+Spain!K$5+Switzerland!K$9</f>
        <v>149888</v>
      </c>
      <c r="L15" s="93">
        <f>Austria!L$11+France!L$14+Italy!L$10+Spain!L$5+Switzerland!L$9</f>
        <v>142375.72744784818</v>
      </c>
      <c r="M15" s="93">
        <f>Austria!M$11+France!M$14+Italy!M$10+Spain!M$5+Switzerland!M$9</f>
        <v>90533.67366910889</v>
      </c>
      <c r="N15" s="93">
        <f>Austria!N$11+France!N$14+Italy!N$10+Spain!N$5+Switzerland!N$9</f>
        <v>120064.36561850543</v>
      </c>
      <c r="O15" s="93">
        <f>Austria!O$11+France!O$14+Italy!O$10+Spain!O$5+Switzerland!O$9</f>
        <v>115089</v>
      </c>
      <c r="P15" s="93">
        <f>Austria!P$11+France!P$14+Italy!P$10+Spain!P$5+Switzerland!P$9</f>
        <v>117792</v>
      </c>
      <c r="Q15" s="95">
        <f>Austria!Q$11+Italy!Q$10+Spain!Q$5+Switzerland!Q$9</f>
        <v>55950</v>
      </c>
    </row>
    <row r="16" spans="1:17" ht="12.75">
      <c r="A16" s="54" t="s">
        <v>15</v>
      </c>
      <c r="B16" s="61">
        <f t="shared" si="0"/>
        <v>13.76923076923077</v>
      </c>
      <c r="C16" s="104">
        <f>E16-'[1]EU - variety'!E16</f>
        <v>-489</v>
      </c>
      <c r="D16" s="93">
        <f>F16-'[1]EU - variety'!F16</f>
        <v>-452</v>
      </c>
      <c r="E16" s="57">
        <f>Denmark!E$10+Germany!E$10</f>
        <v>768</v>
      </c>
      <c r="F16" s="93">
        <f>Denmark!F$10+Germany!F$10</f>
        <v>52</v>
      </c>
      <c r="G16" s="93">
        <f>Denmark!G$10+Germany!G$10</f>
        <v>1082</v>
      </c>
      <c r="H16" s="93">
        <f>Denmark!H$10+Germany!H$10</f>
        <v>190</v>
      </c>
      <c r="I16" s="93">
        <f>Denmark!I$10+Germany!I$10</f>
        <v>950</v>
      </c>
      <c r="J16" s="93">
        <f>Denmark!J$10+Germany!J$10</f>
        <v>1401</v>
      </c>
      <c r="K16" s="93">
        <f>Denmark!K$10+Germany!K$10</f>
        <v>1308</v>
      </c>
      <c r="L16" s="93">
        <f>Denmark!L$10+Germany!L$10</f>
        <v>545</v>
      </c>
      <c r="M16" s="93">
        <f>Denmark!M$10+Germany!M$10</f>
        <v>82</v>
      </c>
      <c r="N16" s="93">
        <f>Denmark!N$10+Germany!N$10</f>
        <v>2150</v>
      </c>
      <c r="O16" s="93">
        <f>Denmark!O$10+Germany!O$10</f>
        <v>257</v>
      </c>
      <c r="P16" s="93">
        <f>Denmark!P$10+Germany!P$10</f>
        <v>2710</v>
      </c>
      <c r="Q16" s="95">
        <f>Denmark!Q$10+Germany!Q$10</f>
        <v>3353</v>
      </c>
    </row>
    <row r="17" spans="1:18" ht="12.75">
      <c r="A17" s="54" t="s">
        <v>10</v>
      </c>
      <c r="B17" s="61">
        <f t="shared" si="0"/>
        <v>0.5132393566567198</v>
      </c>
      <c r="C17" s="104">
        <f>E17-'[1]EU - variety'!E17</f>
        <v>-31671.149999999994</v>
      </c>
      <c r="D17" s="93">
        <f>F17-'[1]EU - variety'!F17</f>
        <v>-31568</v>
      </c>
      <c r="E17" s="57">
        <f>Austria!E$12+'Czech Republic'!E$6+Denmark!E$11+France!E$16+Germany!E$11+Italy!E$11+Switzerland!E$10+Poland!E$8</f>
        <v>218561.7</v>
      </c>
      <c r="F17" s="93">
        <f>Austria!F$12+'Czech Republic'!F$6+Denmark!F$11+France!F$16+Germany!F$11+Italy!F$11+Switzerland!F$10+Poland!F$8</f>
        <v>144433</v>
      </c>
      <c r="G17" s="93">
        <f>Austria!G$12+'Czech Republic'!G$6+Denmark!G$11+France!G$16+Germany!G$11+Italy!G$11+Switzerland!G$10+Poland!G$8</f>
        <v>301166.81</v>
      </c>
      <c r="H17" s="93">
        <f>Austria!H$12+'Czech Republic'!H$6+Denmark!H$11+France!H$16+Germany!H$11+Italy!H$11+Switzerland!H$10+Poland!H$8</f>
        <v>138779</v>
      </c>
      <c r="I17" s="93">
        <f>Austria!I$12+'Czech Republic'!I$6+Denmark!I$11+France!I$16+Germany!I$11+Italy!I$11+Switzerland!I$10+Poland!I$8</f>
        <v>293092.98</v>
      </c>
      <c r="J17" s="93">
        <f>Austria!J$12+'Czech Republic'!J$6+Denmark!J$11+France!J$16+Germany!J$11+Italy!J$11+Switzerland!J$10+Poland!J$8</f>
        <v>325358.07</v>
      </c>
      <c r="K17" s="93">
        <f>Austria!K$12+'Czech Republic'!K$6+Denmark!K$11+France!K$16+Germany!K$11+Italy!K$11+Switzerland!K$10+Poland!K$8</f>
        <v>305085</v>
      </c>
      <c r="L17" s="93">
        <f>Austria!L$12+'Czech Republic'!L$6+Denmark!L$11+France!L$16+Germany!L$11+Italy!L$11+Switzerland!L$10+Poland!L$8</f>
        <v>272925.75</v>
      </c>
      <c r="M17" s="93">
        <f>Austria!M$12+'Czech Republic'!M$6+Denmark!M$11+France!M$16+Germany!M$11+Italy!M$11+Switzerland!M$10+Poland!M$8</f>
        <v>261776.2639814119</v>
      </c>
      <c r="N17" s="93">
        <f>Austria!N$12+'Czech Republic'!N$6+Denmark!N$11+France!N$16+Germany!N$11+Italy!N$11+Switzerland!N$10+Poland!N$8</f>
        <v>255584.21370302443</v>
      </c>
      <c r="O17" s="93">
        <f>Austria!O$12+'Czech Republic'!O$6+Denmark!O$11+France!O$16+Germany!O$11+Italy!O$11+Switzerland!O$10+Poland!O$8</f>
        <v>142094</v>
      </c>
      <c r="P17" s="93">
        <f>Austria!P$12+'Czech Republic'!P$6+Denmark!P$11+France!P$16+Germany!P$11+Italy!P$11+Switzerland!P$10+Poland!P$8</f>
        <v>168266</v>
      </c>
      <c r="Q17" s="95">
        <f>Austria!Q$12+'Czech Republic'!Q$6+Denmark!Q$11+Germany!Q$11+Italy!Q$11+Switzerland!Q$10+Poland!Q$8</f>
        <v>194352</v>
      </c>
      <c r="R17" s="1"/>
    </row>
    <row r="18" spans="1:18" ht="12.75">
      <c r="A18" s="54" t="s">
        <v>26</v>
      </c>
      <c r="B18" s="61">
        <f t="shared" si="0"/>
        <v>0.11031407193158957</v>
      </c>
      <c r="C18" s="104">
        <f>E18-'[1]EU - variety'!E18</f>
        <v>-34749.49999999997</v>
      </c>
      <c r="D18" s="93">
        <f>F18-'[1]EU - variety'!F18</f>
        <v>-38058</v>
      </c>
      <c r="E18" s="57">
        <f>Austria!E$13+Belgium!E$7+'Czech Republic'!E$7+Denmark!E$13+France!E$18+Germany!E$13+Italy!E$12+Switzerland!E$11+Netherlands!E$5+UK!E$7+Poland!E$9</f>
        <v>176584.35</v>
      </c>
      <c r="F18" s="93">
        <f>Austria!F$13+Belgium!F$7+'Czech Republic'!F$7+Denmark!F$13+France!F$18+Germany!F$13+Italy!F$12+Switzerland!F$11+Netherlands!F$5+UK!F$7+Poland!F$9</f>
        <v>159040</v>
      </c>
      <c r="G18" s="93">
        <f>Austria!G$13+Belgium!G$7+'Czech Republic'!G$7+Denmark!G$13+France!G$18+Germany!G$13+Italy!G$12+Switzerland!G$11+Netherlands!G$5+UK!G$7+Poland!G$9</f>
        <v>215411.501</v>
      </c>
      <c r="H18" s="93">
        <f>Austria!H$13+Belgium!H$7+'Czech Republic'!H$7+Denmark!H$13+France!H$18+Germany!H$13+Italy!H$12+Switzerland!H$11+Netherlands!H$5+UK!H$7+Poland!H$9</f>
        <v>94123</v>
      </c>
      <c r="I18" s="93">
        <f>Austria!I$13+Belgium!I$7+'Czech Republic'!I$7+Denmark!I$13+France!I$18+Germany!I$13+Italy!I$12+Switzerland!I$11+Netherlands!I$5+UK!I$7+Poland!I$9</f>
        <v>223189.08000000002</v>
      </c>
      <c r="J18" s="93">
        <f>Austria!J$13+Belgium!J$7+'Czech Republic'!J$7+Denmark!J$13+France!J$18+Germany!J$13+Italy!J$12+Switzerland!J$11+Netherlands!J$5+UK!J$7+Poland!J$9</f>
        <v>252600.36</v>
      </c>
      <c r="K18" s="93">
        <f>Austria!K$13+Belgium!K$7+'Czech Republic'!K$7+Denmark!K$13+France!K$18+Germany!K$13+Italy!K$12+Switzerland!K$11+Netherlands!K$5+UK!K$7+Poland!K$9</f>
        <v>273662</v>
      </c>
      <c r="L18" s="93">
        <f>Austria!L$13+Belgium!L$7+'Czech Republic'!L$7+Denmark!L$13+France!L$18+Germany!L$13+Italy!L$12+Switzerland!L$11+Netherlands!L$5+UK!L$7+Poland!L$9</f>
        <v>235417.69</v>
      </c>
      <c r="M18" s="93">
        <f>Austria!M$13+Belgium!M$7+'Czech Republic'!M$7+Denmark!M$13+France!M$18+Germany!M$13+Italy!M$12+Switzerland!M$11+Netherlands!M$5+UK!M$7+Poland!M$9</f>
        <v>223657.38303375087</v>
      </c>
      <c r="N18" s="93">
        <f>Austria!N$13+Belgium!N$7+'Czech Republic'!N$7+Denmark!N$13+France!N$18+Germany!N$13+Italy!N$12+Switzerland!N$11+Netherlands!N$5+UK!N$7+Poland!N$9</f>
        <v>289911.32215893676</v>
      </c>
      <c r="O18" s="93">
        <f>Austria!O$13+Belgium!O$7+'Czech Republic'!O$7+Denmark!O$13+France!O$18+Germany!O$13+Italy!O$12+Switzerland!O$11+Netherlands!O$5+UK!O$7+Poland!O$9</f>
        <v>191870</v>
      </c>
      <c r="P18" s="93">
        <f>Austria!P$13+Belgium!P$7+'Czech Republic'!P$7+Denmark!P$13+France!P$18+Germany!P$13+Italy!P$12+Switzerland!P$11+Netherlands!P$5+UK!P$7+Poland!P$9</f>
        <v>315738</v>
      </c>
      <c r="Q18" s="95">
        <f>Austria!Q$13+Belgium!Q$7+'Czech Republic'!Q$7+Denmark!Q$13+Germany!Q$13+Italy!Q$12+Switzerland!Q$11+Netherlands!Q$5+UK!Q$7+Poland!Q$9</f>
        <v>276234</v>
      </c>
      <c r="R18" s="1"/>
    </row>
    <row r="19" spans="1:17" ht="12.75">
      <c r="A19" s="54" t="s">
        <v>25</v>
      </c>
      <c r="B19" s="61">
        <f t="shared" si="0"/>
        <v>-0.32926891746503406</v>
      </c>
      <c r="C19" s="104">
        <f>E19-'[1]EU - variety'!E19</f>
        <v>-3380</v>
      </c>
      <c r="D19" s="93">
        <f>F19-'[1]EU - variety'!F19</f>
        <v>-6748</v>
      </c>
      <c r="E19" s="57">
        <f>Austria!E$14+Belgium!E$8+Denmark!E$14+Germany!E$14+UK!E$8</f>
        <v>39276</v>
      </c>
      <c r="F19" s="93">
        <f>Austria!F$14+Belgium!F$8+Denmark!F$14+Germany!F$14+UK!F$8</f>
        <v>58557</v>
      </c>
      <c r="G19" s="93">
        <f>Austria!G$14+Belgium!G$8+Denmark!G$14+Germany!G$14+UK!G$8</f>
        <v>85172</v>
      </c>
      <c r="H19" s="93">
        <f>Austria!H$14+Belgium!H$8+Denmark!H$14+Germany!H$14+UK!H$8</f>
        <v>24420</v>
      </c>
      <c r="I19" s="93">
        <f>Austria!I$14+Belgium!I$8+Denmark!I$14+Germany!I$14+UK!I$8</f>
        <v>80622.38</v>
      </c>
      <c r="J19" s="93">
        <f>Austria!J$14+Belgium!J$8+Denmark!J$14+Germany!J$14+UK!J$8</f>
        <v>87036.77</v>
      </c>
      <c r="K19" s="93">
        <f>Austria!K$14+Belgium!K$8+Denmark!K$14+Germany!K$14+UK!K$8</f>
        <v>113241</v>
      </c>
      <c r="L19" s="93">
        <f>Austria!L$14+Belgium!L$8+Denmark!L$14+Germany!L$14+UK!L$8</f>
        <v>73196.06</v>
      </c>
      <c r="M19" s="93">
        <f>Austria!M$14+Belgium!M$8+Denmark!M$14+Germany!M$14+UK!M$8</f>
        <v>89446</v>
      </c>
      <c r="N19" s="93">
        <f>Austria!N$14+Belgium!N$8+Denmark!N$14+Germany!N$14+UK!N$8</f>
        <v>103821</v>
      </c>
      <c r="O19" s="93">
        <f>Austria!O$14+Belgium!O$8+Denmark!O$14+Germany!O$14+UK!O$8</f>
        <v>80995.80533176895</v>
      </c>
      <c r="P19" s="93">
        <f>Austria!P$14+Belgium!P$8+Denmark!P$14+Germany!P$14+UK!P$8</f>
        <v>110346</v>
      </c>
      <c r="Q19" s="95">
        <f>Austria!Q$14+Belgium!Q$8+Denmark!Q$14+Germany!Q$14+UK!Q$8</f>
        <v>100166</v>
      </c>
    </row>
    <row r="20" spans="1:20" ht="12.75">
      <c r="A20" s="54" t="s">
        <v>49</v>
      </c>
      <c r="B20" s="142"/>
      <c r="C20" s="175">
        <f>E20-'[1]EU - variety'!E20</f>
        <v>0</v>
      </c>
      <c r="D20" s="93">
        <f>F20-'[1]EU - variety'!F20</f>
        <v>0</v>
      </c>
      <c r="E20" s="57">
        <f>Italy!E$13</f>
        <v>0</v>
      </c>
      <c r="F20" s="93">
        <f>Italy!F$13</f>
        <v>0</v>
      </c>
      <c r="G20" s="93">
        <f>Italy!G$13</f>
        <v>0</v>
      </c>
      <c r="H20" s="93">
        <f>Italy!H$13</f>
        <v>0</v>
      </c>
      <c r="I20" s="93">
        <f>Italy!I$13</f>
        <v>0</v>
      </c>
      <c r="J20" s="93">
        <f>Italy!J$13</f>
        <v>7</v>
      </c>
      <c r="K20" s="93">
        <f>Italy!K$13</f>
        <v>6</v>
      </c>
      <c r="L20" s="93">
        <f>Italy!L$13</f>
        <v>0</v>
      </c>
      <c r="M20" s="93">
        <f>Italy!M$13+Poland!M$10</f>
        <v>100001.00312106697</v>
      </c>
      <c r="N20" s="93">
        <f>Italy!N$13+Poland!N$10</f>
        <v>100002.00605329082</v>
      </c>
      <c r="O20" s="93">
        <f>Italy!O$13+Poland!O$10</f>
        <v>0</v>
      </c>
      <c r="P20" s="93">
        <f>Italy!P$13+Poland!P$10</f>
        <v>8006</v>
      </c>
      <c r="Q20" s="95">
        <f>Italy!Q$13+Poland!Q$10</f>
        <v>5007</v>
      </c>
      <c r="T20" s="16"/>
    </row>
    <row r="21" spans="1:17" ht="12.75">
      <c r="A21" s="54" t="s">
        <v>33</v>
      </c>
      <c r="B21" s="61"/>
      <c r="C21" s="104">
        <f>E21-'[1]EU - variety'!E21</f>
        <v>0</v>
      </c>
      <c r="D21" s="93">
        <f>F21-'[1]EU - variety'!F21</f>
        <v>0</v>
      </c>
      <c r="E21" s="57">
        <f>Poland!E$11</f>
        <v>0</v>
      </c>
      <c r="F21" s="93">
        <f>Poland!F$11</f>
        <v>0</v>
      </c>
      <c r="G21" s="93">
        <f>Poland!G$11</f>
        <v>0</v>
      </c>
      <c r="H21" s="93">
        <f>Poland!H$11</f>
        <v>0</v>
      </c>
      <c r="I21" s="93">
        <f>Poland!I$11</f>
        <v>0</v>
      </c>
      <c r="J21" s="93">
        <f>Poland!J$11</f>
        <v>0</v>
      </c>
      <c r="K21" s="93">
        <f>Poland!K$11</f>
        <v>0</v>
      </c>
      <c r="L21" s="93">
        <f>Poland!L$11</f>
        <v>500</v>
      </c>
      <c r="M21" s="93">
        <f>Poland!M$11</f>
        <v>0</v>
      </c>
      <c r="N21" s="93">
        <f>Poland!N$11</f>
        <v>2000</v>
      </c>
      <c r="O21" s="93">
        <f>Poland!O$11</f>
        <v>24000</v>
      </c>
      <c r="P21" s="93">
        <f>Poland!P$11</f>
        <v>45000</v>
      </c>
      <c r="Q21" s="95">
        <f>Poland!Q$11</f>
        <v>40000</v>
      </c>
    </row>
    <row r="22" spans="1:17" ht="12.75">
      <c r="A22" s="54" t="s">
        <v>18</v>
      </c>
      <c r="B22" s="61">
        <f t="shared" si="0"/>
        <v>0.30047530040053405</v>
      </c>
      <c r="C22" s="104">
        <f>E22-'[1]EU - variety'!E22</f>
        <v>-4601.439999999999</v>
      </c>
      <c r="D22" s="93">
        <f>F22-'[1]EU - variety'!F22</f>
        <v>-7743</v>
      </c>
      <c r="E22" s="57">
        <f>Italy!E$14</f>
        <v>14610.84</v>
      </c>
      <c r="F22" s="93">
        <f>Italy!F$14</f>
        <v>11235</v>
      </c>
      <c r="G22" s="93">
        <f>Italy!G$14</f>
        <v>13993</v>
      </c>
      <c r="H22" s="93">
        <f>Italy!H$14</f>
        <v>9497</v>
      </c>
      <c r="I22" s="93">
        <f>Italy!I$14</f>
        <v>16122.869999999999</v>
      </c>
      <c r="J22" s="93">
        <f>Italy!J$14</f>
        <v>17340.43</v>
      </c>
      <c r="K22" s="93">
        <f>Italy!K$14</f>
        <v>24474</v>
      </c>
      <c r="L22" s="93">
        <f>Italy!L$14</f>
        <v>18589</v>
      </c>
      <c r="M22" s="93">
        <f>Italy!M$14</f>
        <v>18395.2341261243</v>
      </c>
      <c r="N22" s="93">
        <f>Italy!N$14</f>
        <v>12292.091539485882</v>
      </c>
      <c r="O22" s="93">
        <f>Italy!O$14</f>
        <v>33900</v>
      </c>
      <c r="P22" s="93">
        <f>Italy!P$14</f>
        <v>20861</v>
      </c>
      <c r="Q22" s="95">
        <f>Italy!Q$14</f>
        <v>40903</v>
      </c>
    </row>
    <row r="23" spans="1:17" ht="12.75">
      <c r="A23" s="54" t="s">
        <v>13</v>
      </c>
      <c r="B23" s="61">
        <f t="shared" si="0"/>
        <v>0.49927374422789256</v>
      </c>
      <c r="C23" s="104">
        <f>E23-'[1]EU - variety'!E23</f>
        <v>-9774.350000000006</v>
      </c>
      <c r="D23" s="93">
        <f>F23-'[1]EU - variety'!F23</f>
        <v>-4819</v>
      </c>
      <c r="E23" s="57">
        <f>Austria!E$16+Denmark!E$16+Germany!E$15+Switzerland!E$14+Poland!E$12+Italy!E$15</f>
        <v>69157</v>
      </c>
      <c r="F23" s="93">
        <f>Austria!F$16+Denmark!F$16+Germany!F$15+Switzerland!F$14+Poland!F$12+Italy!F$15</f>
        <v>46127</v>
      </c>
      <c r="G23" s="93">
        <f>Austria!G$16+Denmark!G$16+Germany!G$15+Switzerland!G$14+Poland!G$12+Italy!G$15</f>
        <v>62390.74</v>
      </c>
      <c r="H23" s="93">
        <f>Austria!H$16+Denmark!H$16+Germany!H$15+Switzerland!H$14+Poland!H$12</f>
        <v>16353</v>
      </c>
      <c r="I23" s="93">
        <f>Austria!I$16+Denmark!I$16+Germany!I$15+Switzerland!I$14+Poland!I$12</f>
        <v>21106.35</v>
      </c>
      <c r="J23" s="93">
        <f>Austria!J$16+Denmark!J$16+Germany!J$15+Switzerland!J$14+Poland!J$12</f>
        <v>23312.87</v>
      </c>
      <c r="K23" s="93">
        <f>Austria!K$16+Denmark!K$16+Germany!K$15+Switzerland!K$14+Poland!K$12</f>
        <v>24204</v>
      </c>
      <c r="L23" s="93">
        <f>Austria!L$16+Denmark!L$16+Germany!L$15+Switzerland!L$14+Poland!L$12</f>
        <v>22211.6</v>
      </c>
      <c r="M23" s="93">
        <f>Austria!M$15+Denmark!M$16+Germany!M$15+Switzerland!M$14</f>
        <v>12074</v>
      </c>
      <c r="N23" s="93">
        <f>Austria!N$15+Denmark!N$16+Germany!N$15+Switzerland!N$14</f>
        <v>10889</v>
      </c>
      <c r="O23" s="93">
        <f>Austria!O$16+Denmark!O$16+Germany!O$15+Switzerland!O$14</f>
        <v>11053</v>
      </c>
      <c r="P23" s="93">
        <f>Austria!P$16+Denmark!P$16+Germany!P$15+Switzerland!P$14</f>
        <v>13153</v>
      </c>
      <c r="Q23" s="95">
        <f>Austria!Q$16+Denmark!Q$16+Germany!Q$15+Switzerland!Q$14</f>
        <v>10003</v>
      </c>
    </row>
    <row r="24" spans="1:17" ht="12.75">
      <c r="A24" s="54" t="s">
        <v>19</v>
      </c>
      <c r="B24" s="61">
        <f t="shared" si="0"/>
        <v>0.13964933963252615</v>
      </c>
      <c r="C24" s="104">
        <f>E24-'[1]EU - variety'!E24</f>
        <v>-33639.94190030411</v>
      </c>
      <c r="D24" s="93">
        <f>F24-'[1]EU - variety'!F24</f>
        <v>-32875.819668106764</v>
      </c>
      <c r="E24" s="57">
        <f>'Czech Republic'!E$8+France!E$21+Italy!E$16+Spain!E$6+Poland!E$13</f>
        <v>163577.52733975253</v>
      </c>
      <c r="F24" s="93">
        <f>'Czech Republic'!F$8+France!F$21+Italy!F$16+Spain!F$6+Poland!F$13</f>
        <v>143533.20942782034</v>
      </c>
      <c r="G24" s="93">
        <f>'Czech Republic'!G$8+France!G$21+Italy!G$16+Spain!G$6+Poland!G$13</f>
        <v>161141</v>
      </c>
      <c r="H24" s="93">
        <f>'Czech Republic'!H$8+France!H$21+Italy!H$16+Spain!H$6+Poland!H$13</f>
        <v>106734</v>
      </c>
      <c r="I24" s="93">
        <f>'Czech Republic'!I$8+France!I$21+Italy!I$16+Spain!I$6+Poland!I$13</f>
        <v>147758.5471835335</v>
      </c>
      <c r="J24" s="93">
        <f>'Czech Republic'!J$8+France!J$21+Italy!J$16+Spain!J$6+Poland!J$13</f>
        <v>150868.43531563855</v>
      </c>
      <c r="K24" s="93">
        <f>'Czech Republic'!K$8+France!K$21+Italy!K$16+Spain!K$6+Poland!K$13</f>
        <v>138405</v>
      </c>
      <c r="L24" s="93">
        <f>'Czech Republic'!L$8+France!L$21+Italy!L$16+Spain!L$6+Poland!L$13</f>
        <v>141994.91283606298</v>
      </c>
      <c r="M24" s="93">
        <f>'Czech Republic'!M$8+France!M$21+Italy!M$16+Spain!M$6+Poland!M$12+Poland!M$13</f>
        <v>96073.26941364314</v>
      </c>
      <c r="N24" s="93">
        <f>'Czech Republic'!N$8+France!N$21+Italy!N$16+Spain!N$6+Poland!N$12+Poland!N$13</f>
        <v>123208.02175464648</v>
      </c>
      <c r="O24" s="93">
        <f>'Czech Republic'!O$8+France!O$20+Italy!O$16+Spain!O$6+Poland!O$12+Poland!O$13</f>
        <v>130175</v>
      </c>
      <c r="P24" s="93">
        <f>'Czech Republic'!P$8+France!P$21+Italy!P$16+Spain!P$6+Poland!P$12+Poland!P$13</f>
        <v>167174</v>
      </c>
      <c r="Q24" s="95">
        <f>'Czech Republic'!Q$8+Italy!Q$16+Spain!Q$6+Poland!Q$12+Poland!Q$13</f>
        <v>138517.42478067358</v>
      </c>
    </row>
    <row r="25" spans="1:17" ht="12.75">
      <c r="A25" s="54" t="s">
        <v>132</v>
      </c>
      <c r="B25" s="61">
        <f t="shared" si="0"/>
        <v>0.39781116659886967</v>
      </c>
      <c r="C25" s="104">
        <f>E25-'[1]EU - variety'!E25</f>
        <v>-43971.5</v>
      </c>
      <c r="D25" s="93">
        <f>F25-'[1]EU - variety'!F25</f>
        <v>-43850</v>
      </c>
      <c r="E25" s="57">
        <f>Germany!E$16+Austria!E$17+Poland!E$14</f>
        <v>161504.5</v>
      </c>
      <c r="F25" s="93">
        <f>Germany!F$16+Austria!F$17+Poland!F$14</f>
        <v>115541</v>
      </c>
      <c r="G25" s="93">
        <f>Germany!G$16+Austria!G$17+Poland!G$14</f>
        <v>113476.38</v>
      </c>
      <c r="H25" s="93">
        <f>Germany!H$16+Austria!H$17</f>
        <v>37946</v>
      </c>
      <c r="I25" s="93">
        <f>Germany!I$16</f>
        <v>54604</v>
      </c>
      <c r="J25" s="93">
        <f>Germany!J$16</f>
        <v>32788</v>
      </c>
      <c r="K25" s="93">
        <f>Germany!K$16</f>
        <v>34960</v>
      </c>
      <c r="L25" s="93">
        <f>Germany!L$16</f>
        <v>15690</v>
      </c>
      <c r="M25" s="93">
        <f>Germany!M$16</f>
        <v>24379</v>
      </c>
      <c r="N25" s="93">
        <f>Germany!N$16</f>
        <v>18108</v>
      </c>
      <c r="O25" s="93">
        <f>Germany!O$16</f>
        <v>13550</v>
      </c>
      <c r="P25" s="93">
        <f>Germany!P$16</f>
        <v>17567</v>
      </c>
      <c r="Q25" s="95">
        <f>Germany!Q$16</f>
        <v>11781</v>
      </c>
    </row>
    <row r="26" spans="1:103" s="4" customFormat="1" ht="13.5" thickBot="1">
      <c r="A26" s="54" t="s">
        <v>121</v>
      </c>
      <c r="B26" s="61">
        <f t="shared" si="0"/>
        <v>0.37376884860106335</v>
      </c>
      <c r="C26" s="104">
        <f>E26-'[1]EU - variety'!E26</f>
        <v>-6132.199999999997</v>
      </c>
      <c r="D26" s="93">
        <f>F26-'[1]EU - variety'!F26</f>
        <v>-5900</v>
      </c>
      <c r="E26" s="57">
        <f>France!E$20+France!E$19+Italy!E$17+Switzerland!E$12</f>
        <v>31522.5</v>
      </c>
      <c r="F26" s="93">
        <f>France!F$20+France!F$19+Italy!F$17+Switzerland!F$12</f>
        <v>22946</v>
      </c>
      <c r="G26" s="93">
        <f>France!G$20+France!G$19+Italy!G$17+Switzerland!G$12</f>
        <v>31821</v>
      </c>
      <c r="H26" s="93">
        <f>France!H$20+France!H$19+Italy!H$17+Switzerland!H$12</f>
        <v>11900</v>
      </c>
      <c r="I26" s="93">
        <f>France!I$20+France!I$19+Italy!I$17+Switzerland!I$12</f>
        <v>23795.1</v>
      </c>
      <c r="J26" s="93">
        <f>France!J$20+France!J$19+Italy!J$17+Switzerland!J$12</f>
        <v>25479.9</v>
      </c>
      <c r="K26" s="93">
        <f>France!K$20+France!K$19+Italy!K$17+Switzerland!K$12</f>
        <v>24726</v>
      </c>
      <c r="L26" s="93">
        <f>France!L$20+France!L$19+Italy!L$17+Switzerland!L$12</f>
        <v>31627</v>
      </c>
      <c r="M26" s="93">
        <f>France!M$20+France!M$19+Italy!M$17+Switzerland!M$12</f>
        <v>11455.174526192528</v>
      </c>
      <c r="N26" s="93">
        <f>France!N$20+France!N$19+Italy!N$17+Switzerland!N$12</f>
        <v>21840.6932110915</v>
      </c>
      <c r="O26" s="93">
        <f>France!O$21+France!O$19+Italy!O$17+Switzerland!O$12</f>
        <v>21828</v>
      </c>
      <c r="P26" s="93">
        <f>France!P$19+France!P$20+Italy!P$17+Switzerland!P$12</f>
        <v>22425</v>
      </c>
      <c r="Q26" s="95">
        <f>Italy!Q$17+Switzerland!Q$12</f>
        <v>7569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7" s="16" customFormat="1" ht="12.75">
      <c r="A27" s="54" t="s">
        <v>87</v>
      </c>
      <c r="B27" s="61">
        <f t="shared" si="0"/>
        <v>0.2649846581945117</v>
      </c>
      <c r="C27" s="104">
        <f>E27-'[1]EU - variety'!E27</f>
        <v>-40205</v>
      </c>
      <c r="D27" s="93">
        <f>F27-'[1]EU - variety'!F27</f>
        <v>-30393</v>
      </c>
      <c r="E27" s="57">
        <f>'Czech Republic'!E$9+Germany!E$17+Poland!E$15</f>
        <v>101830</v>
      </c>
      <c r="F27" s="93">
        <f>'Czech Republic'!F$9+Germany!F$17+Poland!F$15</f>
        <v>80499</v>
      </c>
      <c r="G27" s="93">
        <f>'Czech Republic'!G$9+Germany!G$17+Poland!G$15</f>
        <v>172698</v>
      </c>
      <c r="H27" s="93">
        <f>'Czech Republic'!H$9+Germany!H$17+Poland!H$15</f>
        <v>101287</v>
      </c>
      <c r="I27" s="93">
        <f>'Czech Republic'!I$9+Germany!I$17+Poland!I$15</f>
        <v>148602</v>
      </c>
      <c r="J27" s="93">
        <f>'Czech Republic'!J$9+Germany!J$17+Poland!J$15</f>
        <v>153743</v>
      </c>
      <c r="K27" s="93">
        <f>'Czech Republic'!K$9+Germany!K$17+Poland!K$15</f>
        <v>142864</v>
      </c>
      <c r="L27" s="93">
        <f>'Czech Republic'!L$9+Germany!L$17+Poland!L$15</f>
        <v>140633</v>
      </c>
      <c r="M27" s="93">
        <f>'Czech Republic'!M$9+Germany!M$17+Poland!M$15</f>
        <v>103108</v>
      </c>
      <c r="N27" s="93">
        <f>'Czech Republic'!N$9+Germany!N$17+Poland!N$15</f>
        <v>107666</v>
      </c>
      <c r="O27" s="93">
        <f>'Czech Republic'!O$9+Germany!O$17+Poland!O$15</f>
        <v>61488</v>
      </c>
      <c r="P27" s="93">
        <f>'Czech Republic'!P$9+Germany!P$17+Poland!P$15</f>
        <v>47190</v>
      </c>
      <c r="Q27" s="95">
        <f>'Czech Republic'!Q$9+Germany!Q$17+Poland!Q$15</f>
        <v>62308</v>
      </c>
    </row>
    <row r="28" spans="1:17" ht="12.75">
      <c r="A28" s="54" t="s">
        <v>21</v>
      </c>
      <c r="B28" s="61"/>
      <c r="C28" s="104">
        <f>E28-'[1]EU - variety'!E28</f>
        <v>0</v>
      </c>
      <c r="D28" s="93">
        <f>F28-'[1]EU - variety'!F28</f>
        <v>0</v>
      </c>
      <c r="E28" s="57">
        <f>Italy!E$18</f>
        <v>0</v>
      </c>
      <c r="F28" s="93">
        <f>Italy!F$18</f>
        <v>0</v>
      </c>
      <c r="G28" s="93">
        <f>Italy!G$18</f>
        <v>2824</v>
      </c>
      <c r="H28" s="93">
        <f>Italy!H$18</f>
        <v>2455</v>
      </c>
      <c r="I28" s="93">
        <f>Italy!I$18</f>
        <v>6846.7</v>
      </c>
      <c r="J28" s="93">
        <f>Italy!J$18</f>
        <v>7037.5</v>
      </c>
      <c r="K28" s="93">
        <f>Italy!K$18</f>
        <v>8240</v>
      </c>
      <c r="L28" s="93">
        <f>Italy!L$18</f>
        <v>5651</v>
      </c>
      <c r="M28" s="93">
        <f>Italy!M$18</f>
        <v>1863.7989424331413</v>
      </c>
      <c r="N28" s="93">
        <f>Italy!N$18</f>
        <v>6617.969806407821</v>
      </c>
      <c r="O28" s="93">
        <f>Italy!O$18</f>
        <v>0</v>
      </c>
      <c r="P28" s="93">
        <f>Italy!P$18</f>
        <v>4649</v>
      </c>
      <c r="Q28" s="95">
        <f>Italy!Q$18</f>
        <v>5832</v>
      </c>
    </row>
    <row r="29" spans="1:17" ht="12.75">
      <c r="A29" s="54" t="s">
        <v>34</v>
      </c>
      <c r="B29" s="61">
        <f t="shared" si="0"/>
        <v>1.7428571428571429</v>
      </c>
      <c r="C29" s="104">
        <f>E29-'[1]EU - variety'!E29</f>
        <v>-139</v>
      </c>
      <c r="D29" s="93">
        <f>F29-'[1]EU - variety'!F29</f>
        <v>-43</v>
      </c>
      <c r="E29" s="57">
        <f>'Czech Republic'!E$10+UK!E$9+Poland!E$16+Denmark!E$17</f>
        <v>384</v>
      </c>
      <c r="F29" s="93">
        <f>'Czech Republic'!F$10+UK!F$9+Poland!F$16+Denmark!F$17</f>
        <v>140</v>
      </c>
      <c r="G29" s="93">
        <f>'Czech Republic'!G$10+UK!G$9+Poland!G$16+Denmark!G$17</f>
        <v>143</v>
      </c>
      <c r="H29" s="93">
        <f>'Czech Republic'!H$10+UK!H$9+Poland!H$16+Denmark!H$17</f>
        <v>4</v>
      </c>
      <c r="I29" s="93">
        <f>'Czech Republic'!I$10+UK!I$9+Poland!I$16+Denmark!I$17</f>
        <v>15</v>
      </c>
      <c r="J29" s="93">
        <f>'Czech Republic'!J$10+UK!J$9+Poland!J$16+Denmark!J$17</f>
        <v>50</v>
      </c>
      <c r="K29" s="93">
        <f>'Czech Republic'!K$10+UK!K$9+Poland!K$16+Denmark!K$17</f>
        <v>39</v>
      </c>
      <c r="L29" s="93">
        <f>'Czech Republic'!L$10+UK!L$9+Poland!L$16+Denmark!L$17</f>
        <v>5</v>
      </c>
      <c r="M29" s="93">
        <f>'Czech Republic'!M$10+UK!M$9+Poland!M$16+Denmark!M$17</f>
        <v>200</v>
      </c>
      <c r="N29" s="93">
        <f>'Czech Republic'!N$10+UK!N$9+Poland!N$16+Denmark!N$17</f>
        <v>11</v>
      </c>
      <c r="O29" s="93">
        <f>'Czech Republic'!O$10+UK!O$9+Poland!O$16</f>
        <v>16</v>
      </c>
      <c r="P29" s="93">
        <f>'Czech Republic'!P$10+UK!P$9+Poland!P$16</f>
        <v>2099</v>
      </c>
      <c r="Q29" s="95">
        <f>'Czech Republic'!Q$10+UK!Q$9+Poland!Q$16</f>
        <v>5023</v>
      </c>
    </row>
    <row r="30" spans="1:17" ht="12.75">
      <c r="A30" s="54" t="s">
        <v>122</v>
      </c>
      <c r="B30" s="61">
        <f t="shared" si="0"/>
        <v>0.264663933161387</v>
      </c>
      <c r="C30" s="104">
        <f>E30-'[1]EU - variety'!E30</f>
        <v>-23915.95000000001</v>
      </c>
      <c r="D30" s="93">
        <f>F30-'[1]EU - variety'!F30</f>
        <v>-37951</v>
      </c>
      <c r="E30" s="57">
        <f>Austria!E$6+Denmark!E$18+France!E$2+France!E$24+France!E$17+France!E$15+France!E$13+Switzerland!E$17+UK!E$10+Germany!E$19+Netherlands!E$6</f>
        <v>114737.9</v>
      </c>
      <c r="F30" s="93">
        <f>Austria!F$6+Denmark!F$18+France!F$2+France!F$24+France!F$17+France!F$15+France!F$13+Switzerland!F$17+UK!F$10+Germany!F$19+Netherlands!F$6</f>
        <v>90726</v>
      </c>
      <c r="G30" s="93">
        <f>Austria!G$6+Denmark!G$18+France!G$2+France!G$24+France!G$17+France!G$15+France!G$13+Switzerland!G$17+UK!G$10+Germany!G$19+Netherlands!G$6</f>
        <v>114539.078</v>
      </c>
      <c r="H30" s="93">
        <f>Austria!H$6+Denmark!H$18+France!H$2+France!H$24+France!H$17+France!H$15+France!H$13+Switzerland!H$17+UK!H$10+Germany!H$19+Netherlands!H$6</f>
        <v>72958</v>
      </c>
      <c r="I30" s="93">
        <f>Austria!I$6+Denmark!I$18+France!I$2+France!I$24+France!I$17+France!I$15+France!I$13+Switzerland!I$17+UK!I$10+Germany!I$19+Netherlands!I$6</f>
        <v>90108.48999999999</v>
      </c>
      <c r="J30" s="93">
        <f>Austria!J$6+Denmark!J$18+France!J$2+France!J$24+France!J$17+France!J$15+France!J$13+Switzerland!J$17+UK!J$10+Germany!J$19+Netherlands!J$6</f>
        <v>89200</v>
      </c>
      <c r="K30" s="93">
        <f>Austria!K$6+Denmark!K$18+France!K$2+France!K$24+France!K$17+France!K$15+France!K$13+Switzerland!K$17+UK!K$10+Germany!K$19+Netherlands!K$6</f>
        <v>95309</v>
      </c>
      <c r="L30" s="93">
        <f>Austria!L$6+Denmark!L$18+France!L$2+France!L$24+France!L$17+France!L$15+France!L$13+Switzerland!L$17+UK!L$10+Germany!L$19+Netherlands!L$6</f>
        <v>85532.27</v>
      </c>
      <c r="M30" s="93">
        <f>Austria!M$6+Denmark!M$18+France!M$2+France!M$24+France!M$17+France!M$15+France!M$13+Switzerland!M$17+UK!M$10+Germany!M$19+Netherlands!M$6</f>
        <v>45889</v>
      </c>
      <c r="N30" s="93">
        <f>Austria!N$6+Denmark!N$18+France!N$2+France!N$24+France!N$17+France!N$15+France!N$13+Switzerland!N$17+UK!N$10+Germany!N$19+Netherlands!N$6</f>
        <v>50192</v>
      </c>
      <c r="O30" s="93">
        <f>Austria!O$6+Denmark!O$18+France!O$2+France!O$24+France!O$17+France!O$15+France!O$13+Switzerland!O$17+UK!O$10+Germany!O$19+Netherlands!O$6</f>
        <v>43259</v>
      </c>
      <c r="P30" s="93">
        <f>Austria!P$6+Denmark!P$18+France!P$2+France!P$24+France!P$17+France!P$15+France!P$13+Switzerland!P$17+UK!P$10+Germany!P$19+Netherlands!P$6</f>
        <v>44407</v>
      </c>
      <c r="Q30" s="95">
        <f>Austria!Q$6+Denmark!Q$18+France!Q$2+France!Q$24+France!Q$17+France!Q$15+France!Q$13+Switzerland!Q$17+UK!Q$10+Germany!Q$19+Netherlands!Q$6</f>
        <v>3569</v>
      </c>
    </row>
    <row r="31" spans="1:19" ht="13.5" thickBot="1">
      <c r="A31" s="54" t="s">
        <v>6</v>
      </c>
      <c r="B31" s="61">
        <f t="shared" si="0"/>
        <v>0.9089524850872885</v>
      </c>
      <c r="C31" s="104">
        <f>E31-'[1]EU - variety'!E31</f>
        <v>-114454.43999999994</v>
      </c>
      <c r="D31" s="93">
        <f>F31-'[1]EU - variety'!F31</f>
        <v>-81252.60999999999</v>
      </c>
      <c r="E31" s="57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458951.75</v>
      </c>
      <c r="F31" s="93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240420.72999999998</v>
      </c>
      <c r="G31" s="93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498918.518</v>
      </c>
      <c r="H31" s="93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254517</v>
      </c>
      <c r="I31" s="93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389533.22</v>
      </c>
      <c r="J31" s="93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410462.22000000003</v>
      </c>
      <c r="K31" s="93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377416</v>
      </c>
      <c r="L31" s="93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297532.48800001</v>
      </c>
      <c r="M31" s="93">
        <f>Austria!M$2+Austria!M$16+Austria!M$18+Austria!M$19+Austria!M$20+Belgium!M$9+'Czech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$17</f>
        <v>211955.5978276544</v>
      </c>
      <c r="N31" s="93">
        <f>Austria!N$2+Austria!N$16+Austria!N$18+Austria!N$19+Austria!N$20+Belgium!N$9+'Czech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$17</f>
        <v>201311.0330402495</v>
      </c>
      <c r="O31" s="93">
        <f>Austria!O$2+Austria!O$18+Austria!O$19+Austria!O$20+Belgium!O$9+'Czech Republic'!O$11+Denmark!O$3+Denmark!O$15+Denmark!O$12+Denmark!O$19+France!O$3+France!O$7+France!O$22+France!O$25+Germany!O$12+Germany!O$18+Germany!O$20+Italy!O$18+Italy!O$19+Netherlands!O$7+Poland!O$17+Spain!O$7+Switzerland!O$7+Switzerland!O$13+Switzerland!O$15+Switzerland!O$16+Switzerland!O$18+UK!O$11</f>
        <v>156412.38906101082</v>
      </c>
      <c r="P31" s="93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$25+Poland!P$17</f>
        <v>167548.49</v>
      </c>
      <c r="Q31" s="95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Republic'!Q$11+Denmark!Q$3+Denmark!Q$15+Denmark!Q$12+Denmark!Q$19+Germany!Q$12+Germany!Q$18+Germany!Q$20+Italy!Q$19+Spain!Q$7+Switzerland!Q$7+Switzerland!Q$13+Switzerland!Q$15+Switzerland!Q$16+Switzerland!Q$18+Netherlands!Q$7+UK!Q$11+Poland!Q$17</f>
        <v>121547</v>
      </c>
      <c r="S31" s="3"/>
    </row>
    <row r="32" spans="1:17" ht="13.5" thickBot="1">
      <c r="A32" s="53" t="s">
        <v>90</v>
      </c>
      <c r="B32" s="197">
        <f t="shared" si="0"/>
        <v>0.09067152674909074</v>
      </c>
      <c r="C32" s="90">
        <f>E32-'[1]EU - variety'!E32</f>
        <v>-731231.7888011271</v>
      </c>
      <c r="D32" s="125">
        <f>F32-'[1]EU - variety'!F32</f>
        <v>-745500.4636613103</v>
      </c>
      <c r="E32" s="59">
        <f>SUM(E2:E31)</f>
        <v>3364921.563560122</v>
      </c>
      <c r="F32" s="125">
        <f aca="true" t="shared" si="1" ref="F32:K32">SUM(F2:F31)</f>
        <v>3085183.2848243257</v>
      </c>
      <c r="G32" s="125">
        <f t="shared" si="1"/>
        <v>3825937.603000001</v>
      </c>
      <c r="H32" s="125">
        <f t="shared" si="1"/>
        <v>2395634</v>
      </c>
      <c r="I32" s="125">
        <f t="shared" si="1"/>
        <v>3523072.2868012004</v>
      </c>
      <c r="J32" s="125">
        <f t="shared" si="1"/>
        <v>3694490.76813892</v>
      </c>
      <c r="K32" s="125">
        <f t="shared" si="1"/>
        <v>3708855</v>
      </c>
      <c r="L32" s="125">
        <f aca="true" t="shared" si="2" ref="L32:Q32">SUM(L2:L31)</f>
        <v>3340946.0155004635</v>
      </c>
      <c r="M32" s="125">
        <f t="shared" si="2"/>
        <v>2788557.480972122</v>
      </c>
      <c r="N32" s="125">
        <f t="shared" si="2"/>
        <v>3336984.179502799</v>
      </c>
      <c r="O32" s="125">
        <f t="shared" si="2"/>
        <v>2785720.19439278</v>
      </c>
      <c r="P32" s="125">
        <f t="shared" si="2"/>
        <v>3040955.49</v>
      </c>
      <c r="Q32" s="130">
        <f t="shared" si="2"/>
        <v>2509304.426924293</v>
      </c>
    </row>
    <row r="33" spans="1:9" ht="12.75">
      <c r="A33" s="70" t="s">
        <v>144</v>
      </c>
      <c r="C33" s="9"/>
      <c r="I33" s="9"/>
    </row>
    <row r="34" spans="2:17" ht="13.5" thickBot="1">
      <c r="B34" s="3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1:17" s="70" customFormat="1" ht="13.5" thickBot="1">
      <c r="A35" s="68" t="s">
        <v>89</v>
      </c>
      <c r="B35" s="32" t="s">
        <v>172</v>
      </c>
      <c r="C35" s="63" t="s">
        <v>173</v>
      </c>
      <c r="D35" s="110" t="s">
        <v>166</v>
      </c>
      <c r="E35" s="161">
        <v>44228</v>
      </c>
      <c r="F35" s="113">
        <v>43862</v>
      </c>
      <c r="G35" s="113">
        <v>43497</v>
      </c>
      <c r="H35" s="113">
        <v>43132</v>
      </c>
      <c r="I35" s="33">
        <v>42767</v>
      </c>
      <c r="J35" s="33">
        <v>42401</v>
      </c>
      <c r="K35" s="33">
        <v>42036</v>
      </c>
      <c r="L35" s="33">
        <v>41671</v>
      </c>
      <c r="M35" s="33">
        <v>41306</v>
      </c>
      <c r="N35" s="33">
        <v>40940</v>
      </c>
      <c r="O35" s="33">
        <v>40575</v>
      </c>
      <c r="P35" s="33">
        <v>40210</v>
      </c>
      <c r="Q35" s="49">
        <v>39845</v>
      </c>
    </row>
    <row r="36" spans="1:17" s="70" customFormat="1" ht="12.75">
      <c r="A36" s="131" t="s">
        <v>102</v>
      </c>
      <c r="B36" s="132">
        <f aca="true" t="shared" si="3" ref="B36:B44">(E36-F36)/F36</f>
        <v>2.037097719667087</v>
      </c>
      <c r="C36" s="181">
        <f>E36-'[1]EU - variety'!E36</f>
        <v>-26986.60037368555</v>
      </c>
      <c r="D36" s="133">
        <f>F36-'[1]EU - variety'!F36</f>
        <v>-19783.36573024302</v>
      </c>
      <c r="E36" s="164">
        <f>Italy!E$24</f>
        <v>74038.55425601415</v>
      </c>
      <c r="F36" s="133">
        <f>Italy!F$24</f>
        <v>24378.061257814883</v>
      </c>
      <c r="G36" s="133">
        <f>Italy!G$24</f>
        <v>92733.47612680469</v>
      </c>
      <c r="H36" s="133">
        <f>Italy!H$24</f>
        <v>122209.6329927511</v>
      </c>
      <c r="I36" s="93">
        <f>Italy!I$24</f>
        <v>92132.70558864997</v>
      </c>
      <c r="J36" s="133">
        <f>Italy!J$24</f>
        <v>109467.67267966656</v>
      </c>
      <c r="K36" s="133">
        <f>Italy!K$24</f>
        <v>109353.5317635652</v>
      </c>
      <c r="L36" s="133">
        <f>Italy!L$24</f>
        <v>127790.20995132683</v>
      </c>
      <c r="M36" s="133">
        <f>Italy!M$24</f>
        <v>68886.85413368627</v>
      </c>
      <c r="N36" s="133">
        <f>Italy!N$24</f>
        <v>150672.6423656584</v>
      </c>
      <c r="O36" s="133">
        <f>Italy!O$24</f>
        <v>49212.14937852741</v>
      </c>
      <c r="P36" s="133">
        <f>Italy!P$24</f>
        <v>62293.859972819504</v>
      </c>
      <c r="Q36" s="134">
        <f>Italy!Q$24</f>
        <v>47149</v>
      </c>
    </row>
    <row r="37" spans="1:17" s="70" customFormat="1" ht="12.75">
      <c r="A37" s="71" t="s">
        <v>37</v>
      </c>
      <c r="B37" s="72">
        <f t="shared" si="3"/>
        <v>-0.09577957051687215</v>
      </c>
      <c r="C37" s="102">
        <f>E37-'[1]EU - variety'!E37</f>
        <v>-643.1002193557547</v>
      </c>
      <c r="D37" s="98">
        <f>F37-'[1]EU - variety'!F37</f>
        <v>-1335.1601608695378</v>
      </c>
      <c r="E37" s="73">
        <f>Spain!E$12</f>
        <v>2710.024349114055</v>
      </c>
      <c r="F37" s="98">
        <f>Spain!F$12</f>
        <v>2997.0837428028076</v>
      </c>
      <c r="G37" s="98">
        <f>Spain!G$12</f>
        <v>2374</v>
      </c>
      <c r="H37" s="98">
        <f>Spain!H$12</f>
        <v>3102</v>
      </c>
      <c r="I37" s="93">
        <f>Spain!I$12</f>
        <v>3111.932715102492</v>
      </c>
      <c r="J37" s="98">
        <f>Spain!J$12</f>
        <v>1770.9265524239313</v>
      </c>
      <c r="K37" s="98">
        <f>Spain!K$12</f>
        <v>2541</v>
      </c>
      <c r="L37" s="98">
        <f>Spain!L$12</f>
        <v>5760.679144443647</v>
      </c>
      <c r="M37" s="98">
        <f>Spain!M$12</f>
        <v>1924.3024921565961</v>
      </c>
      <c r="N37" s="98">
        <f>Spain!N$12</f>
        <v>6723</v>
      </c>
      <c r="O37" s="98">
        <f>Spain!O$12</f>
        <v>5242</v>
      </c>
      <c r="P37" s="98">
        <f>Spain!P$12</f>
        <v>4593</v>
      </c>
      <c r="Q37" s="100">
        <f>Spain!Q$12</f>
        <v>2698</v>
      </c>
    </row>
    <row r="38" spans="1:17" s="67" customFormat="1" ht="12.75">
      <c r="A38" s="71" t="s">
        <v>38</v>
      </c>
      <c r="B38" s="72">
        <f t="shared" si="3"/>
        <v>0.23937121153607874</v>
      </c>
      <c r="C38" s="102">
        <f>E38-'[1]EU - variety'!E38</f>
        <v>-1540.4031159457509</v>
      </c>
      <c r="D38" s="98">
        <f>F38-'[1]EU - variety'!F38</f>
        <v>-1527.9942756151372</v>
      </c>
      <c r="E38" s="73">
        <f>Spain!E$13</f>
        <v>4970.688846851756</v>
      </c>
      <c r="F38" s="98">
        <f>Spain!F$13</f>
        <v>4010.653790070754</v>
      </c>
      <c r="G38" s="98">
        <f>Spain!G$13</f>
        <v>5350</v>
      </c>
      <c r="H38" s="98">
        <f>Spain!H$13</f>
        <v>7261</v>
      </c>
      <c r="I38" s="93">
        <f>Spain!I$13</f>
        <v>7558.125957640795</v>
      </c>
      <c r="J38" s="98">
        <f>Spain!J$13</f>
        <v>5909.934671607798</v>
      </c>
      <c r="K38" s="98">
        <f>Spain!K$13</f>
        <v>10281</v>
      </c>
      <c r="L38" s="98">
        <f>Spain!L$13</f>
        <v>9160.931524746362</v>
      </c>
      <c r="M38" s="98">
        <f>Spain!M$13</f>
        <v>6549.205352756845</v>
      </c>
      <c r="N38" s="98">
        <f>Spain!N$13</f>
        <v>11992</v>
      </c>
      <c r="O38" s="98">
        <f>Spain!O$13</f>
        <v>18326</v>
      </c>
      <c r="P38" s="98">
        <f>Spain!P$13</f>
        <v>15384</v>
      </c>
      <c r="Q38" s="100">
        <f>Spain!Q$13</f>
        <v>10153</v>
      </c>
    </row>
    <row r="39" spans="1:17" s="67" customFormat="1" ht="12.75">
      <c r="A39" s="71" t="s">
        <v>7</v>
      </c>
      <c r="B39" s="72">
        <f t="shared" si="3"/>
        <v>0.27127724650450674</v>
      </c>
      <c r="C39" s="102">
        <f>E39-'[1]EU - variety'!E39</f>
        <v>-99846.44683617982</v>
      </c>
      <c r="D39" s="98">
        <f>F39-'[1]EU - variety'!F39</f>
        <v>-90064.50583068014</v>
      </c>
      <c r="E39" s="73">
        <f>Belgium!E$15+Denmark!E$24+Italy!E$25+Poland!E$22+Spain!E$14+Switzerland!E$24+Netherlands!E$12+UK!E$16+'Czech Republic'!E$16+France!E$32</f>
        <v>430073.82331281435</v>
      </c>
      <c r="F39" s="98">
        <f>Belgium!F$15+Denmark!F$24+Italy!F$25+Poland!F$22+Spain!F$14+Switzerland!F$24+Netherlands!F$12+UK!F$16+'Czech Republic'!F$16+France!F$32</f>
        <v>338300.5748709353</v>
      </c>
      <c r="G39" s="98">
        <f>Belgium!G$15+Denmark!G$24+Italy!G$25+Poland!G$22+Spain!G$14+Switzerland!G$24+Netherlands!G$12+UK!G$16+'Czech Republic'!G$16+France!G$32</f>
        <v>421522.66604173696</v>
      </c>
      <c r="H39" s="98">
        <f>Belgium!H$15+Denmark!H$24+Italy!H$25+Poland!H$22+Spain!H$14+Switzerland!H$24+Netherlands!H$12+UK!H$16+'Czech Republic'!H$16+France!H$32</f>
        <v>347948.03404712083</v>
      </c>
      <c r="I39" s="93">
        <f>Belgium!I$15+Denmark!I$24+Italy!I$25+Poland!I$22+Spain!I$14+Switzerland!I$24+Netherlands!I$12+UK!I$16+'Czech Republic'!I$16+France!I$32</f>
        <v>374859.91637995245</v>
      </c>
      <c r="J39" s="98">
        <f>Belgium!J$15+Denmark!J$24+Italy!J$25+Poland!J$22+Spain!J$14+Switzerland!J$24+Netherlands!J$12+UK!J$16+'Czech Republic'!J$16+France!J$32</f>
        <v>422302.1156110102</v>
      </c>
      <c r="K39" s="98">
        <f>Belgium!K$15+Denmark!K$24+Italy!K$25+Poland!K$22+Spain!K$14+Switzerland!K$24+Netherlands!K$12+UK!K$16+'Czech Republic'!K$16+France!$K32</f>
        <v>390892.34974566224</v>
      </c>
      <c r="L39" s="98">
        <f>Belgium!L$15+Denmark!L$24+Italy!L$25+Poland!L$22+Spain!L$14+Switzerland!L$24+Netherlands!L$12+UK!L$16+'Czech Republic'!L$16+France!$K32</f>
        <v>380968.5638398676</v>
      </c>
      <c r="M39" s="98">
        <f>Belgium!M$15+Denmark!M$24+Italy!M$25+Poland!M$22+Spain!M$14+Switzerland!M$24+Netherlands!M$12+UK!M$16+'Czech Republic'!M$16+France!$K32</f>
        <v>247766.63108334207</v>
      </c>
      <c r="N39" s="98">
        <f>Belgium!N$15+Denmark!N$24+Italy!N$25+Poland!N$22+Spain!N$14+Switzerland!N$24+Netherlands!N$12+UK!N$16+'Czech Republic'!N$16+France!$K32</f>
        <v>378342.71721526375</v>
      </c>
      <c r="O39" s="98">
        <f>Belgium!O$15+Denmark!O$24+Italy!O$25+Poland!O$22+Spain!O$14+Switzerland!O$24+Netherlands!O$12+UK!O$16+'Czech Republic'!O$16+France!O$32</f>
        <v>311746.6742818062</v>
      </c>
      <c r="P39" s="98">
        <f>Belgium!P$15+Denmark!P$24+Italy!P$25+Poland!P$22+Spain!P$14+Switzerland!P$24+Netherlands!P$12+UK!P$16+'Czech Republic'!P$16+France!P$32</f>
        <v>338428.82669148565</v>
      </c>
      <c r="Q39" s="100">
        <f>Belgium!Q$15+Denmark!Q$24+Italy!Q$25+Poland!Q$22+Spain!Q$14+Switzerland!Q$24+Netherlands!Q$12+UK!Q$16+'Czech Republic'!Q$16</f>
        <v>208219</v>
      </c>
    </row>
    <row r="40" spans="1:17" s="67" customFormat="1" ht="12.75">
      <c r="A40" s="71" t="s">
        <v>91</v>
      </c>
      <c r="B40" s="72">
        <f t="shared" si="3"/>
        <v>0.6536032345924033</v>
      </c>
      <c r="C40" s="102">
        <f>E40-'[1]EU - variety'!E40</f>
        <v>-9378.507417214521</v>
      </c>
      <c r="D40" s="98">
        <f>F40-'[1]EU - variety'!F40</f>
        <v>-7646.284175654517</v>
      </c>
      <c r="E40" s="73">
        <f>Belgium!E$16+Italy!E$26+Poland!E$23+Netherlands!E$13+UK!E$17+France!E$33+Denmark!E$25</f>
        <v>12761.723658086765</v>
      </c>
      <c r="F40" s="98">
        <f>Belgium!F$16+Italy!F$26+Poland!F$23+Netherlands!F$13+UK!F$17+France!F$33+Denmark!F$25</f>
        <v>7717.524609966309</v>
      </c>
      <c r="G40" s="98">
        <f>Belgium!G$16+Italy!G$26+Poland!G$23+Netherlands!G$13+UK!G$17+France!G$33+Denmark!G$25</f>
        <v>14732.574967774337</v>
      </c>
      <c r="H40" s="98">
        <f>Belgium!H$16+Italy!H$26+Poland!H$23+Netherlands!H$13+UK!H$17+France!H$33+Denmark!H$25</f>
        <v>6008.106049311831</v>
      </c>
      <c r="I40" s="93">
        <f>Belgium!I$16+Italy!I$26+Poland!I$23+Netherlands!I$13+UK!I$17+France!I$33+Denmark!I$25</f>
        <v>9957.36610422839</v>
      </c>
      <c r="J40" s="98">
        <f>Belgium!J$16+Italy!J$26+Poland!J$23+Netherlands!J$13+UK!J$17+France!J$33+Denmark!J$25</f>
        <v>17103.946147249488</v>
      </c>
      <c r="K40" s="98">
        <f>Belgium!K$16+Italy!K$26+Poland!K$23+Netherlands!K$13+UK!K$17+France!K$33+Denmark!K$25</f>
        <v>13104.418414875214</v>
      </c>
      <c r="L40" s="98">
        <f>Belgium!L$16+Italy!L$26+Poland!L$23+Netherlands!L$13+UK!L$17+France!L$33+Denmark!L$25</f>
        <v>20386.68117199772</v>
      </c>
      <c r="M40" s="98">
        <f>Belgium!M$16+Italy!M$26+Poland!M$23+Netherlands!M$13+UK!M$17+France!M$33+Denmark!M$25</f>
        <v>6263.169626177828</v>
      </c>
      <c r="N40" s="98">
        <f>Belgium!N$16+Italy!N$26+Poland!N$23+Netherlands!N$13+UK!N$17+France!N$33</f>
        <v>20910.8532644565</v>
      </c>
      <c r="O40" s="98">
        <f>Belgium!O$16+Italy!O$26+Poland!O$23+Netherlands!O$13+UK!O$17+France!O$33</f>
        <v>13534.639479031743</v>
      </c>
      <c r="P40" s="98">
        <f>Belgium!P$16+Italy!P$26+Poland!P$23+Netherlands!P$13+UK!P$17+France!P$33</f>
        <v>23316.075921214888</v>
      </c>
      <c r="Q40" s="100">
        <f>Belgium!Q$16+Italy!Q$26+Poland!Q$23+Netherlands!Q$13+UK!Q$17</f>
        <v>9929</v>
      </c>
    </row>
    <row r="41" spans="1:17" s="67" customFormat="1" ht="12.75">
      <c r="A41" s="71" t="s">
        <v>29</v>
      </c>
      <c r="B41" s="72">
        <f t="shared" si="3"/>
        <v>2.82429727760544</v>
      </c>
      <c r="C41" s="102">
        <f>E41-'[1]EU - variety'!E41</f>
        <v>-3250.8627674022428</v>
      </c>
      <c r="D41" s="98">
        <f>F41-'[1]EU - variety'!F41</f>
        <v>-2387.0543586801123</v>
      </c>
      <c r="E41" s="73">
        <f>Italy!E$27</f>
        <v>18111.793643596113</v>
      </c>
      <c r="F41" s="98">
        <f>Italy!F$27</f>
        <v>4735.9795352877745</v>
      </c>
      <c r="G41" s="98">
        <f>Italy!G$27</f>
        <v>14639.881603464646</v>
      </c>
      <c r="H41" s="98">
        <f>Italy!H$27</f>
        <v>17741.350952149736</v>
      </c>
      <c r="I41" s="93">
        <f>Italy!I$27</f>
        <v>12253.168097963897</v>
      </c>
      <c r="J41" s="98">
        <f>Italy!J$27</f>
        <v>23309.81091912353</v>
      </c>
      <c r="K41" s="98">
        <f>Italy!K$27</f>
        <v>12419.53676337936</v>
      </c>
      <c r="L41" s="98">
        <f>Italy!L$27</f>
        <v>29521.317451482635</v>
      </c>
      <c r="M41" s="98">
        <f>Italy!M$27</f>
        <v>14018.665143009037</v>
      </c>
      <c r="N41" s="98">
        <f>Italy!N$27</f>
        <v>26825.472111268613</v>
      </c>
      <c r="O41" s="98">
        <f>Italy!O$27</f>
        <v>10634.286872284827</v>
      </c>
      <c r="P41" s="98">
        <f>Italy!P$27</f>
        <v>24168.833800647335</v>
      </c>
      <c r="Q41" s="100">
        <f>Italy!Q$27</f>
        <v>8151</v>
      </c>
    </row>
    <row r="42" spans="1:17" s="67" customFormat="1" ht="12.75">
      <c r="A42" s="71" t="s">
        <v>150</v>
      </c>
      <c r="B42" s="146">
        <f t="shared" si="3"/>
        <v>-1</v>
      </c>
      <c r="C42" s="179">
        <f>E42-'[1]EU - variety'!E42</f>
        <v>0</v>
      </c>
      <c r="D42" s="155">
        <f>F42-'[1]EU - variety'!F42</f>
        <v>-20205</v>
      </c>
      <c r="E42" s="165">
        <f>Portugal!E$14</f>
        <v>0</v>
      </c>
      <c r="F42" s="155">
        <f>Portugal!F$14</f>
        <v>66403</v>
      </c>
      <c r="G42" s="155">
        <f>Portugal!G$14</f>
        <v>56990</v>
      </c>
      <c r="H42" s="155"/>
      <c r="I42" s="141"/>
      <c r="J42" s="98"/>
      <c r="K42" s="98"/>
      <c r="L42" s="98"/>
      <c r="M42" s="98"/>
      <c r="N42" s="98"/>
      <c r="O42" s="98"/>
      <c r="P42" s="98"/>
      <c r="Q42" s="100"/>
    </row>
    <row r="43" spans="1:17" s="67" customFormat="1" ht="13.5" thickBot="1">
      <c r="A43" s="75" t="s">
        <v>6</v>
      </c>
      <c r="B43" s="76">
        <f t="shared" si="3"/>
        <v>0.4351500772973455</v>
      </c>
      <c r="C43" s="103">
        <f>E43-'[1]EU - variety'!E43</f>
        <v>-31699.511129653576</v>
      </c>
      <c r="D43" s="99">
        <f>F43-'[1]EU - variety'!F43</f>
        <v>-28451.514359798406</v>
      </c>
      <c r="E43" s="77">
        <f>Belgium!E$18+Belgium!E$17+Denmark!E$26+Germany!E$25+Italy!E$28+Poland!E$24+Spain!E$15+Spain!E$16+Switzerland!E$23+Switzerland!E$25+Switzerland!E$26+Switzerland!E$27+Netherlands!E$14+UK!E$18+'Czech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40698.447259260385</v>
      </c>
      <c r="F43" s="99">
        <f>Belgium!F$18+Belgium!F$17+Denmark!F$26+Germany!F$25+Italy!F$28+Poland!F$24+Spain!F$15+Spain!F$16+Switzerland!F$23+Switzerland!F$25+Switzerland!F$26+Switzerland!F$27+Netherlands!F$14+UK!F$18+'Czech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28358.32147666614</v>
      </c>
      <c r="G43" s="99">
        <f>Belgium!G$18+Belgium!G$17+Denmark!G$26+Germany!G$25+Italy!G$28+Poland!G$24+Spain!G$15+Spain!G$16+Switzerland!G$23+Switzerland!G$25+Switzerland!G$26+Switzerland!G$27+Netherlands!G$14+UK!G$18+'Czech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36960.610844960305</v>
      </c>
      <c r="H43" s="99">
        <f>Belgium!H$18+Denmark!H$26+Germany!H$25+Italy!H$28+Poland!H$24+Spain!H$15+Spain!H$16+Switzerland!H$23+Switzerland!H$25+Switzerland!H$27+Netherlands!H$14+UK!H$18+'Czech Republic'!H$17+'Czech Republic'!H$18+'Czech Republic'!H$19+'Czech Republic'!H$20+France!H$31+France!H$35+France!H$36+France!H$37+France!H$30</f>
        <v>20353</v>
      </c>
      <c r="I43" s="93">
        <f>Belgium!I$18+Denmark!I$26+Germany!I$25+Italy!I$28+Poland!I$24+Spain!I$15+Spain!I$16+Switzerland!I$23+Switzerland!I$25+Switzerland!I$27+Netherlands!I$14+UK!I$18+'Czech Republic'!I$17+'Czech Republic'!I$18+'Czech Republic'!I$19+'Czech Republic'!I$20+France!I$31+France!I$35+France!I$36+France!I$37+France!I$30</f>
        <v>24367.66538925828</v>
      </c>
      <c r="J43" s="99">
        <f>Belgium!J$18+Denmark!J$26+Germany!J$25+Italy!J$28+Poland!J$24+Spain!J$15+Spain!J$16+Switzerland!J$23+Switzerland!J$25+Switzerland!J$27+Netherlands!J$14+UK!J$18+'Czech Republic'!J$17+'Czech Republic'!J$18+'Czech Republic'!J$19+'Czech Republic'!J$20+France!J$31+France!J$35+France!J$36+France!J$37+France!J$30</f>
        <v>28103.693316475234</v>
      </c>
      <c r="K43" s="99">
        <f>Belgium!K$18+Denmark!K$26+Germany!K$25+Italy!K$28+Poland!K$24+Spain!K$15+Spain!K$16+Switzerland!K$23+Switzerland!K$25+Switzerland!K$27+Netherlands!K$14+UK!K$18+'Czech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24486.436887034703</v>
      </c>
      <c r="L43" s="99">
        <f>Belgium!L$18+Denmark!L$26+Germany!L$25+Italy!L$28+Poland!L$24+Spain!L$15+Spain!L$16+Switzerland!L$23+Switzerland!L$25+Switzerland!L$27+Netherlands!L$14+UK!L$18+'Czech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42287.10779548052</v>
      </c>
      <c r="M43" s="99">
        <f>Belgium!M$18+Denmark!M$26+Germany!M$25+Italy!M$28+Poland!M$24+Spain!M$15+Spain!M$16+Switzerland!M$23+Switzerland!M$25+Switzerland!M$27+Netherlands!M$14+UK!M$18+'Czech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13056.86507996995</v>
      </c>
      <c r="N43" s="99">
        <f>Belgium!N$18+Denmark!N$26+Germany!N$25+Italy!N$28+Poland!N$24+Spain!N$15+Spain!N$16+Switzerland!N$23+Switzerland!N$25+Switzerland!N$27+Netherlands!N$14+UK!N$18+'Czech Republic'!N$17+'Czech Republic'!N$20+France!N$30+France!N$31+France!N$32+France!N$35+France!N$36+France!N$37</f>
        <v>30897.539014213784</v>
      </c>
      <c r="O43" s="99">
        <f>Belgium!O$18+Denmark!O$26+Germany!O$25+Italy!O$28+Poland!O$24+Spain!O$15+Spain!O$16+Switzerland!O$23+Switzerland!O$25+Switzerland!O$27+Netherlands!O$14+UK!O$18+'Czech Republic'!O$17+'Czech Republic'!O$20+France!O$30+France!O$31+France!O$34+France!O$35+France!O$36+France!O$37</f>
        <v>15142.866876244232</v>
      </c>
      <c r="P43" s="99">
        <f>Belgium!P$18+Denmark!P$26+Germany!P$25+Italy!P$28+Poland!P$24+Spain!P$15+Spain!P$16+Switzerland!P$23+Switzerland!P$25+Switzerland!P$27+Netherlands!P$14+UK!P$18+'Czech Republic'!P$17+'Czech Republic'!P$20+France!P$30+France!P$31+France!P$34+France!P$35+France!P$36+France!P$37</f>
        <v>25495.637128722734</v>
      </c>
      <c r="Q43" s="101">
        <f>Belgium!Q$18+Denmark!Q$26+Germany!Q$25+Italy!Q$28+Poland!Q$24+Spain!Q$15+Spain!Q$16+Switzerland!Q$23+Switzerland!Q$25+Switzerland!Q$27+Netherlands!Q$14+UK!Q$18+'Czech Republic'!Q$17+'Czech Republic'!Q$20</f>
        <v>9166</v>
      </c>
    </row>
    <row r="44" spans="1:17" s="67" customFormat="1" ht="13.5" thickBot="1">
      <c r="A44" s="79" t="s">
        <v>90</v>
      </c>
      <c r="B44" s="128">
        <f t="shared" si="3"/>
        <v>0.22324090650670597</v>
      </c>
      <c r="C44" s="182">
        <f>E44-'[1]EU - variety'!E44</f>
        <v>-173345.43185943726</v>
      </c>
      <c r="D44" s="139">
        <f>F44-'[1]EU - variety'!F44</f>
        <v>-171400.8788915408</v>
      </c>
      <c r="E44" s="166">
        <f>SUM(E36:E43)</f>
        <v>583365.0553257376</v>
      </c>
      <c r="F44" s="139">
        <f aca="true" t="shared" si="4" ref="F44:K44">SUM(F36:F43)</f>
        <v>476901.199283544</v>
      </c>
      <c r="G44" s="139">
        <f t="shared" si="4"/>
        <v>645303.2095847409</v>
      </c>
      <c r="H44" s="139">
        <f t="shared" si="4"/>
        <v>524623.1240413334</v>
      </c>
      <c r="I44" s="118">
        <f t="shared" si="4"/>
        <v>524240.88023279625</v>
      </c>
      <c r="J44" s="118">
        <f t="shared" si="4"/>
        <v>607968.0998975568</v>
      </c>
      <c r="K44" s="118">
        <f t="shared" si="4"/>
        <v>563078.2735745166</v>
      </c>
      <c r="L44" s="118">
        <f aca="true" t="shared" si="5" ref="L44:Q44">SUM(L36:L43)</f>
        <v>615875.4908793453</v>
      </c>
      <c r="M44" s="118">
        <f t="shared" si="5"/>
        <v>358465.6929110986</v>
      </c>
      <c r="N44" s="118">
        <f t="shared" si="5"/>
        <v>626364.2239708612</v>
      </c>
      <c r="O44" s="118">
        <f t="shared" si="5"/>
        <v>423838.61688789446</v>
      </c>
      <c r="P44" s="118">
        <f t="shared" si="5"/>
        <v>493680.23351489013</v>
      </c>
      <c r="Q44" s="135">
        <f t="shared" si="5"/>
        <v>295465</v>
      </c>
    </row>
    <row r="45" spans="1:17" s="67" customFormat="1" ht="12.75">
      <c r="A45"/>
      <c r="D45" s="127"/>
      <c r="E45" s="127"/>
      <c r="F45" s="127"/>
      <c r="G45" s="127"/>
      <c r="H45" s="127"/>
      <c r="J45" s="127"/>
      <c r="K45" s="127"/>
      <c r="L45" s="127"/>
      <c r="M45" s="127"/>
      <c r="N45" s="127"/>
      <c r="O45" s="127"/>
      <c r="P45" s="127"/>
      <c r="Q45" s="127"/>
    </row>
    <row r="46" spans="1:17" s="67" customFormat="1" ht="12.75">
      <c r="A46" s="70"/>
      <c r="D46" s="127"/>
      <c r="E46" s="127"/>
      <c r="F46" s="127"/>
      <c r="G46" s="127"/>
      <c r="H46" s="127"/>
      <c r="J46" s="127"/>
      <c r="K46" s="127"/>
      <c r="L46" s="127"/>
      <c r="M46" s="127"/>
      <c r="N46" s="127"/>
      <c r="O46" s="127"/>
      <c r="P46" s="127"/>
      <c r="Q46" s="127"/>
    </row>
    <row r="47" spans="4:17" s="67" customFormat="1" ht="12.75">
      <c r="D47" s="127"/>
      <c r="E47" s="127"/>
      <c r="F47" s="127"/>
      <c r="G47" s="127"/>
      <c r="H47" s="127"/>
      <c r="J47" s="127"/>
      <c r="K47" s="127"/>
      <c r="L47" s="127"/>
      <c r="M47" s="127"/>
      <c r="N47" s="127"/>
      <c r="O47" s="127"/>
      <c r="P47" s="127"/>
      <c r="Q47" s="127"/>
    </row>
  </sheetData>
  <sheetProtection/>
  <printOptions/>
  <pageMargins left="0.75" right="0.75" top="1" bottom="1" header="0.5" footer="0.5"/>
  <pageSetup fitToHeight="3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5" width="11.28125" style="0" customWidth="1"/>
    <col min="6" max="7" width="11.28125" style="9" customWidth="1"/>
    <col min="8" max="8" width="11.421875" style="9" customWidth="1"/>
    <col min="9" max="9" width="10.140625" style="0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27" t="s">
        <v>92</v>
      </c>
      <c r="B2" s="35">
        <f>(E2-F2)/F2</f>
        <v>0.23620000000000005</v>
      </c>
      <c r="C2" s="64">
        <f>E2-'[1]Austria'!E2</f>
        <v>-113.09999999999991</v>
      </c>
      <c r="D2" s="13">
        <f>F2-'[1]Austria'!F2</f>
        <v>-88</v>
      </c>
      <c r="E2" s="148">
        <v>618.1</v>
      </c>
      <c r="F2" s="13">
        <v>500</v>
      </c>
      <c r="G2" s="13">
        <v>761.93</v>
      </c>
      <c r="H2" s="13">
        <v>248</v>
      </c>
      <c r="I2" s="13">
        <v>0</v>
      </c>
      <c r="J2" s="13">
        <v>945.76</v>
      </c>
      <c r="K2" s="13">
        <v>1537</v>
      </c>
      <c r="L2" s="13">
        <v>1425.1</v>
      </c>
      <c r="M2" s="13">
        <v>1390</v>
      </c>
      <c r="N2" s="13">
        <v>1863</v>
      </c>
      <c r="O2" s="13">
        <v>2110</v>
      </c>
      <c r="P2" s="13">
        <v>1978</v>
      </c>
      <c r="Q2" s="13">
        <v>3157</v>
      </c>
      <c r="R2" s="13">
        <v>2537</v>
      </c>
      <c r="S2" s="37">
        <v>2218</v>
      </c>
    </row>
    <row r="3" spans="1:19" ht="12.75">
      <c r="A3" s="27" t="s">
        <v>4</v>
      </c>
      <c r="B3" s="35"/>
      <c r="C3" s="64">
        <f>E3-'[1]Austria'!E3</f>
        <v>-9.1</v>
      </c>
      <c r="D3" s="13">
        <f>F3-'[1]Austria'!F3</f>
        <v>0</v>
      </c>
      <c r="E3" s="148">
        <v>0</v>
      </c>
      <c r="F3" s="13">
        <v>0</v>
      </c>
      <c r="G3" s="13">
        <v>7.49</v>
      </c>
      <c r="H3" s="13">
        <v>0</v>
      </c>
      <c r="I3" s="13">
        <v>0</v>
      </c>
      <c r="J3" s="13">
        <v>1.07</v>
      </c>
      <c r="K3" s="13">
        <v>1</v>
      </c>
      <c r="L3" s="13">
        <v>5.35</v>
      </c>
      <c r="M3" s="13">
        <v>0</v>
      </c>
      <c r="N3" s="13">
        <v>10</v>
      </c>
      <c r="O3" s="13">
        <v>0</v>
      </c>
      <c r="P3" s="13">
        <v>1</v>
      </c>
      <c r="Q3" s="13">
        <v>5</v>
      </c>
      <c r="R3" s="13"/>
      <c r="S3" s="37"/>
    </row>
    <row r="4" spans="1:19" ht="12.75">
      <c r="A4" s="27" t="s">
        <v>11</v>
      </c>
      <c r="B4" s="35">
        <f aca="true" t="shared" si="0" ref="B4:B21">(E4-F4)/F4</f>
        <v>-0.1590909090909091</v>
      </c>
      <c r="C4" s="64">
        <f>E4-'[1]Austria'!E4</f>
        <v>-869.5500000000002</v>
      </c>
      <c r="D4" s="13">
        <f>F4-'[1]Austria'!F4</f>
        <v>-965</v>
      </c>
      <c r="E4" s="148">
        <v>6410.25</v>
      </c>
      <c r="F4" s="13">
        <v>7623</v>
      </c>
      <c r="G4" s="13">
        <v>11164.4</v>
      </c>
      <c r="H4" s="13">
        <v>3420</v>
      </c>
      <c r="I4" s="13">
        <v>1632.26</v>
      </c>
      <c r="J4" s="13">
        <v>9710.07</v>
      </c>
      <c r="K4" s="13">
        <v>9466</v>
      </c>
      <c r="L4" s="13">
        <v>10853.92</v>
      </c>
      <c r="M4" s="13">
        <v>7861</v>
      </c>
      <c r="N4" s="13">
        <v>12097</v>
      </c>
      <c r="O4" s="13">
        <v>11228</v>
      </c>
      <c r="P4" s="13">
        <v>13626</v>
      </c>
      <c r="Q4" s="13">
        <v>9953</v>
      </c>
      <c r="R4" s="13">
        <v>7961</v>
      </c>
      <c r="S4" s="37">
        <v>6326</v>
      </c>
    </row>
    <row r="5" spans="1:19" ht="12.75">
      <c r="A5" s="27" t="s">
        <v>2</v>
      </c>
      <c r="B5" s="35">
        <f t="shared" si="0"/>
        <v>-0.1597206703910615</v>
      </c>
      <c r="C5" s="64">
        <f>E5-'[1]Austria'!E5</f>
        <v>-486.20000000000005</v>
      </c>
      <c r="D5" s="13">
        <f>F5-'[1]Austria'!F5</f>
        <v>-434</v>
      </c>
      <c r="E5" s="148">
        <v>1504.1</v>
      </c>
      <c r="F5" s="13">
        <v>1790</v>
      </c>
      <c r="G5" s="13">
        <v>4019.54</v>
      </c>
      <c r="H5" s="13">
        <v>499</v>
      </c>
      <c r="I5" s="13">
        <v>7.49</v>
      </c>
      <c r="J5" s="13">
        <v>1940.91</v>
      </c>
      <c r="K5" s="13">
        <v>2035</v>
      </c>
      <c r="L5" s="13">
        <v>2035.03</v>
      </c>
      <c r="M5" s="13">
        <v>1785</v>
      </c>
      <c r="N5" s="13">
        <v>3468</v>
      </c>
      <c r="O5" s="13">
        <v>2670</v>
      </c>
      <c r="P5" s="13">
        <v>3325</v>
      </c>
      <c r="Q5" s="13">
        <v>2730</v>
      </c>
      <c r="R5" s="13">
        <v>3418</v>
      </c>
      <c r="S5" s="37">
        <v>4096</v>
      </c>
    </row>
    <row r="6" spans="1:19" ht="12.75">
      <c r="A6" s="27" t="s">
        <v>152</v>
      </c>
      <c r="B6" s="35">
        <f t="shared" si="0"/>
        <v>0.3799172378119746</v>
      </c>
      <c r="C6" s="64">
        <f>E6-'[1]Austria'!E6</f>
        <v>-1232.6499999999996</v>
      </c>
      <c r="D6" s="13">
        <f>F6-'[1]Austria'!F6</f>
        <v>-971</v>
      </c>
      <c r="E6" s="148">
        <v>10670.9</v>
      </c>
      <c r="F6" s="13">
        <v>7733</v>
      </c>
      <c r="G6" s="13">
        <v>8142.7</v>
      </c>
      <c r="H6" s="13">
        <v>4458</v>
      </c>
      <c r="I6" s="13">
        <v>2361.49</v>
      </c>
      <c r="J6" s="13">
        <v>5671</v>
      </c>
      <c r="K6" s="13">
        <v>4843</v>
      </c>
      <c r="L6" s="13">
        <v>3061.27</v>
      </c>
      <c r="M6" s="13">
        <v>1838</v>
      </c>
      <c r="N6" s="13">
        <v>2178</v>
      </c>
      <c r="O6" s="13"/>
      <c r="P6" s="13"/>
      <c r="Q6" s="13"/>
      <c r="R6" s="13"/>
      <c r="S6" s="37"/>
    </row>
    <row r="7" spans="1:19" ht="12.75">
      <c r="A7" s="29" t="s">
        <v>12</v>
      </c>
      <c r="B7" s="35">
        <f t="shared" si="0"/>
        <v>-0.22586780789348548</v>
      </c>
      <c r="C7" s="64">
        <f>E7-'[1]Austria'!E7</f>
        <v>-393.20000000000005</v>
      </c>
      <c r="D7" s="13">
        <f>F7-'[1]Austria'!F7</f>
        <v>-166</v>
      </c>
      <c r="E7" s="148">
        <v>1628</v>
      </c>
      <c r="F7" s="13">
        <v>2103</v>
      </c>
      <c r="G7" s="13">
        <v>2861.08</v>
      </c>
      <c r="H7" s="13">
        <v>1278</v>
      </c>
      <c r="I7" s="111">
        <v>390.55</v>
      </c>
      <c r="J7" s="111">
        <v>2382.89</v>
      </c>
      <c r="K7" s="111">
        <v>2363</v>
      </c>
      <c r="L7" s="111">
        <v>1997.5</v>
      </c>
      <c r="M7" s="111">
        <v>1644</v>
      </c>
      <c r="N7" s="111">
        <v>2601</v>
      </c>
      <c r="O7" s="111">
        <v>624</v>
      </c>
      <c r="P7" s="111">
        <v>2431</v>
      </c>
      <c r="Q7" s="111">
        <v>1192</v>
      </c>
      <c r="R7" s="13"/>
      <c r="S7" s="37"/>
    </row>
    <row r="8" spans="1:19" ht="12.75">
      <c r="A8" s="27" t="s">
        <v>9</v>
      </c>
      <c r="B8" s="35">
        <f t="shared" si="0"/>
        <v>-0.05680939727020169</v>
      </c>
      <c r="C8" s="64">
        <f>E8-'[1]Austria'!E8</f>
        <v>-1758.8500000000004</v>
      </c>
      <c r="D8" s="13">
        <f>F8-'[1]Austria'!F8</f>
        <v>-2568</v>
      </c>
      <c r="E8" s="148">
        <v>15617.35</v>
      </c>
      <c r="F8" s="13">
        <v>16558</v>
      </c>
      <c r="G8" s="13">
        <v>18796.79</v>
      </c>
      <c r="H8" s="13">
        <v>9441</v>
      </c>
      <c r="I8" s="13">
        <v>947.03</v>
      </c>
      <c r="J8" s="13">
        <v>19781.01</v>
      </c>
      <c r="K8" s="13">
        <v>14511</v>
      </c>
      <c r="L8" s="13">
        <v>18065</v>
      </c>
      <c r="M8" s="13">
        <v>11796</v>
      </c>
      <c r="N8" s="13">
        <v>18541</v>
      </c>
      <c r="O8" s="13">
        <v>20370</v>
      </c>
      <c r="P8" s="13">
        <v>15331</v>
      </c>
      <c r="Q8" s="13">
        <v>14978</v>
      </c>
      <c r="R8" s="13">
        <v>12887</v>
      </c>
      <c r="S8" s="37">
        <v>8243</v>
      </c>
    </row>
    <row r="9" spans="1:19" ht="12.75">
      <c r="A9" s="27" t="s">
        <v>14</v>
      </c>
      <c r="B9" s="149"/>
      <c r="C9" s="176">
        <f>E9-'[1]Austria'!E9</f>
        <v>0</v>
      </c>
      <c r="D9" s="13">
        <f>F9-'[1]Austria'!F9</f>
        <v>0</v>
      </c>
      <c r="E9" s="148"/>
      <c r="F9" s="13"/>
      <c r="G9" s="13"/>
      <c r="H9" s="13"/>
      <c r="I9" s="13"/>
      <c r="J9" s="13">
        <v>0</v>
      </c>
      <c r="K9" s="13"/>
      <c r="L9" s="13"/>
      <c r="M9" s="13"/>
      <c r="N9" s="13"/>
      <c r="O9" s="13">
        <v>21</v>
      </c>
      <c r="P9" s="13">
        <v>282</v>
      </c>
      <c r="Q9" s="13">
        <v>86</v>
      </c>
      <c r="R9" s="13">
        <v>13</v>
      </c>
      <c r="S9" s="37">
        <v>234</v>
      </c>
    </row>
    <row r="10" spans="1:19" ht="12.75">
      <c r="A10" s="27" t="s">
        <v>3</v>
      </c>
      <c r="B10" s="149">
        <f t="shared" si="0"/>
        <v>0.1887927088101877</v>
      </c>
      <c r="C10" s="176">
        <f>E10-'[1]Austria'!E10</f>
        <v>-1895.199999999997</v>
      </c>
      <c r="D10" s="13">
        <f>F10-'[1]Austria'!F10</f>
        <v>-2283</v>
      </c>
      <c r="E10" s="148">
        <v>28565.5</v>
      </c>
      <c r="F10" s="13">
        <v>24029</v>
      </c>
      <c r="G10" s="13">
        <v>23100.06</v>
      </c>
      <c r="H10" s="13">
        <v>20498</v>
      </c>
      <c r="I10" s="13">
        <v>16419.28</v>
      </c>
      <c r="J10" s="13">
        <v>35902.47</v>
      </c>
      <c r="K10" s="13">
        <v>44741</v>
      </c>
      <c r="L10" s="13">
        <v>30412.43</v>
      </c>
      <c r="M10" s="13">
        <v>37574</v>
      </c>
      <c r="N10" s="13">
        <v>45546</v>
      </c>
      <c r="O10" s="13">
        <v>41990</v>
      </c>
      <c r="P10" s="13">
        <v>39134</v>
      </c>
      <c r="Q10" s="13">
        <v>41923</v>
      </c>
      <c r="R10" s="13">
        <v>39975</v>
      </c>
      <c r="S10" s="37">
        <v>33351</v>
      </c>
    </row>
    <row r="11" spans="1:19" ht="12.75">
      <c r="A11" s="27" t="s">
        <v>17</v>
      </c>
      <c r="B11" s="149">
        <f t="shared" si="0"/>
        <v>0.04000000000000004</v>
      </c>
      <c r="C11" s="176">
        <f>E11-'[1]Austria'!E11</f>
        <v>-136.5</v>
      </c>
      <c r="D11" s="13">
        <f>F11-'[1]Austria'!F11</f>
        <v>-135</v>
      </c>
      <c r="E11" s="148">
        <v>280.8</v>
      </c>
      <c r="F11" s="13">
        <v>270</v>
      </c>
      <c r="G11" s="13">
        <v>124.98</v>
      </c>
      <c r="H11" s="13">
        <v>39</v>
      </c>
      <c r="I11" s="13">
        <v>42.8</v>
      </c>
      <c r="J11" s="111">
        <v>44.94</v>
      </c>
      <c r="K11" s="111">
        <v>617</v>
      </c>
      <c r="L11" s="111">
        <v>124.12</v>
      </c>
      <c r="M11" s="111">
        <v>32</v>
      </c>
      <c r="N11" s="111">
        <v>87</v>
      </c>
      <c r="O11" s="111">
        <v>144</v>
      </c>
      <c r="P11" s="111">
        <v>31</v>
      </c>
      <c r="Q11" s="111">
        <v>18</v>
      </c>
      <c r="R11" s="13"/>
      <c r="S11" s="37"/>
    </row>
    <row r="12" spans="1:19" ht="12.75">
      <c r="A12" s="28" t="s">
        <v>10</v>
      </c>
      <c r="B12" s="149">
        <f t="shared" si="0"/>
        <v>-0.07134179024477402</v>
      </c>
      <c r="C12" s="176">
        <f>E12-'[1]Austria'!E12</f>
        <v>-337.14999999999964</v>
      </c>
      <c r="D12" s="13">
        <f>F12-'[1]Austria'!F12</f>
        <v>-352</v>
      </c>
      <c r="E12" s="148">
        <v>5197.7</v>
      </c>
      <c r="F12" s="13">
        <v>5597</v>
      </c>
      <c r="G12" s="13">
        <v>10170.81</v>
      </c>
      <c r="H12" s="13">
        <v>3480</v>
      </c>
      <c r="I12" s="111">
        <v>248.98</v>
      </c>
      <c r="J12" s="111">
        <v>15158.07</v>
      </c>
      <c r="K12" s="111">
        <v>13912</v>
      </c>
      <c r="L12" s="111">
        <v>17752.75</v>
      </c>
      <c r="M12" s="111">
        <v>13076</v>
      </c>
      <c r="N12" s="111">
        <v>18703</v>
      </c>
      <c r="O12" s="111">
        <v>19862</v>
      </c>
      <c r="P12" s="111">
        <v>20921</v>
      </c>
      <c r="Q12" s="111">
        <v>17696</v>
      </c>
      <c r="R12" s="13">
        <v>16807</v>
      </c>
      <c r="S12" s="37">
        <v>19520</v>
      </c>
    </row>
    <row r="13" spans="1:19" ht="12.75">
      <c r="A13" s="28" t="s">
        <v>26</v>
      </c>
      <c r="B13" s="149">
        <f t="shared" si="0"/>
        <v>-0.5161417322834646</v>
      </c>
      <c r="C13" s="176">
        <f>E13-'[1]Austria'!E13</f>
        <v>-224.9000000000001</v>
      </c>
      <c r="D13" s="13">
        <f>F13-'[1]Austria'!F13</f>
        <v>-719</v>
      </c>
      <c r="E13" s="148">
        <v>2150.75</v>
      </c>
      <c r="F13" s="13">
        <v>4445</v>
      </c>
      <c r="G13" s="13">
        <v>7425.4</v>
      </c>
      <c r="H13" s="13">
        <v>2414</v>
      </c>
      <c r="I13" s="111">
        <v>644.88</v>
      </c>
      <c r="J13" s="111">
        <v>7113.86</v>
      </c>
      <c r="K13" s="111">
        <v>7882</v>
      </c>
      <c r="L13" s="111">
        <v>7331.69</v>
      </c>
      <c r="M13" s="111">
        <v>5929</v>
      </c>
      <c r="N13" s="111">
        <v>9906</v>
      </c>
      <c r="O13" s="111">
        <v>9231</v>
      </c>
      <c r="P13" s="111">
        <v>9885</v>
      </c>
      <c r="Q13" s="111">
        <v>6751</v>
      </c>
      <c r="R13" s="13">
        <v>7773</v>
      </c>
      <c r="S13" s="37">
        <v>8997</v>
      </c>
    </row>
    <row r="14" spans="1:19" ht="12.75">
      <c r="A14" s="29" t="s">
        <v>25</v>
      </c>
      <c r="B14" s="149"/>
      <c r="C14" s="176">
        <f>E14-'[1]Austria'!E14</f>
        <v>0</v>
      </c>
      <c r="D14" s="13">
        <f>F14-'[1]Austria'!F14</f>
        <v>0</v>
      </c>
      <c r="E14" s="148">
        <v>0</v>
      </c>
      <c r="F14" s="13">
        <v>0</v>
      </c>
      <c r="G14" s="13"/>
      <c r="H14" s="13">
        <v>0</v>
      </c>
      <c r="I14" s="111">
        <v>36.38</v>
      </c>
      <c r="J14" s="111">
        <v>2472.77</v>
      </c>
      <c r="K14" s="111">
        <v>3108</v>
      </c>
      <c r="L14" s="111">
        <v>3165.06</v>
      </c>
      <c r="M14" s="111">
        <v>2351</v>
      </c>
      <c r="N14" s="111">
        <v>4649</v>
      </c>
      <c r="O14" s="111">
        <v>3901</v>
      </c>
      <c r="P14" s="111">
        <v>5017</v>
      </c>
      <c r="Q14" s="111">
        <v>3871</v>
      </c>
      <c r="R14" s="13"/>
      <c r="S14" s="37"/>
    </row>
    <row r="15" spans="1:20" ht="12.75">
      <c r="A15" s="29" t="s">
        <v>93</v>
      </c>
      <c r="B15" s="149">
        <f t="shared" si="0"/>
        <v>0.463421052631579</v>
      </c>
      <c r="C15" s="176">
        <f>E15-'[1]Austria'!E15</f>
        <v>-447.95</v>
      </c>
      <c r="D15" s="13">
        <f>F15-'[1]Austria'!F15</f>
        <v>-183</v>
      </c>
      <c r="E15" s="148">
        <v>278.05</v>
      </c>
      <c r="F15" s="13">
        <v>190</v>
      </c>
      <c r="G15" s="13">
        <v>82.04</v>
      </c>
      <c r="H15" s="13">
        <v>0</v>
      </c>
      <c r="I15" s="111">
        <v>0</v>
      </c>
      <c r="J15" s="111">
        <v>7.49</v>
      </c>
      <c r="K15" s="111">
        <v>6</v>
      </c>
      <c r="L15" s="111">
        <v>22.47</v>
      </c>
      <c r="M15" s="111">
        <v>9</v>
      </c>
      <c r="N15" s="111">
        <v>34</v>
      </c>
      <c r="O15" s="111">
        <v>77</v>
      </c>
      <c r="P15" s="111">
        <v>25</v>
      </c>
      <c r="Q15" s="111">
        <v>1</v>
      </c>
      <c r="R15" s="13">
        <v>53</v>
      </c>
      <c r="S15" s="37">
        <v>105</v>
      </c>
      <c r="T15" s="13"/>
    </row>
    <row r="16" spans="1:20" ht="12.75">
      <c r="A16" s="29" t="s">
        <v>13</v>
      </c>
      <c r="B16" s="149">
        <f t="shared" si="0"/>
        <v>-0.13266033254156762</v>
      </c>
      <c r="C16" s="176">
        <f>E16-'[1]Austria'!E16</f>
        <v>1.75</v>
      </c>
      <c r="D16" s="13">
        <f>F16-'[1]Austria'!F16</f>
        <v>-132</v>
      </c>
      <c r="E16" s="148">
        <v>730.3000000000001</v>
      </c>
      <c r="F16" s="13">
        <v>842</v>
      </c>
      <c r="G16" s="13">
        <v>1538.74</v>
      </c>
      <c r="H16" s="13">
        <v>175</v>
      </c>
      <c r="I16" s="111">
        <v>271.35</v>
      </c>
      <c r="J16" s="111">
        <v>1321.87</v>
      </c>
      <c r="K16" s="111">
        <v>1491</v>
      </c>
      <c r="L16" s="111">
        <v>1690.4</v>
      </c>
      <c r="M16" s="111">
        <v>1454</v>
      </c>
      <c r="N16" s="111">
        <v>1579</v>
      </c>
      <c r="O16" s="111">
        <v>2035</v>
      </c>
      <c r="P16" s="111">
        <v>2257</v>
      </c>
      <c r="Q16" s="111">
        <v>1929</v>
      </c>
      <c r="R16" s="13"/>
      <c r="S16" s="37"/>
      <c r="T16" s="13"/>
    </row>
    <row r="17" spans="1:20" ht="12.75">
      <c r="A17" s="91" t="s">
        <v>132</v>
      </c>
      <c r="B17" s="149">
        <f t="shared" si="0"/>
        <v>-0.1562176165803109</v>
      </c>
      <c r="C17" s="176">
        <f>E17-'[1]Austria'!E17</f>
        <v>-19.5</v>
      </c>
      <c r="D17" s="13">
        <f>F17-'[1]Austria'!F17</f>
        <v>-129</v>
      </c>
      <c r="E17" s="148">
        <v>1628.5</v>
      </c>
      <c r="F17" s="13">
        <v>1930</v>
      </c>
      <c r="G17" s="13">
        <v>1748.38</v>
      </c>
      <c r="H17" s="13">
        <v>444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3"/>
      <c r="S17" s="37"/>
      <c r="T17" s="13"/>
    </row>
    <row r="18" spans="1:20" ht="12.75">
      <c r="A18" s="29" t="s">
        <v>94</v>
      </c>
      <c r="B18" s="149"/>
      <c r="C18" s="176">
        <f>E18-'[1]Austria'!E18</f>
        <v>-20.800000000000004</v>
      </c>
      <c r="D18" s="13">
        <f>F18-'[1]Austria'!F18</f>
        <v>-5</v>
      </c>
      <c r="E18" s="148">
        <v>33.8</v>
      </c>
      <c r="F18" s="13">
        <v>0</v>
      </c>
      <c r="G18" s="13">
        <v>27.75</v>
      </c>
      <c r="H18" s="13">
        <v>0</v>
      </c>
      <c r="I18" s="13">
        <v>0</v>
      </c>
      <c r="J18" s="13">
        <v>8.56</v>
      </c>
      <c r="K18" s="13">
        <v>2</v>
      </c>
      <c r="L18" s="13">
        <v>9.63</v>
      </c>
      <c r="M18" s="13">
        <v>0</v>
      </c>
      <c r="N18" s="13">
        <v>104</v>
      </c>
      <c r="O18" s="13">
        <v>37</v>
      </c>
      <c r="P18" s="13">
        <v>187</v>
      </c>
      <c r="Q18" s="13">
        <v>66</v>
      </c>
      <c r="R18" s="13">
        <v>155</v>
      </c>
      <c r="S18" s="37">
        <v>123</v>
      </c>
      <c r="T18" s="13"/>
    </row>
    <row r="19" spans="1:20" ht="12.75">
      <c r="A19" s="29" t="s">
        <v>95</v>
      </c>
      <c r="B19" s="35">
        <f t="shared" si="0"/>
        <v>-0.5559975139838408</v>
      </c>
      <c r="C19" s="64">
        <f>E19-'[1]Austria'!E19</f>
        <v>-173.7499999999999</v>
      </c>
      <c r="D19" s="13">
        <f>F19-'[1]Austria'!F19</f>
        <v>-506</v>
      </c>
      <c r="E19" s="148">
        <v>714.4000000000001</v>
      </c>
      <c r="F19" s="13">
        <v>1609</v>
      </c>
      <c r="G19" s="13">
        <v>4665.8099999999995</v>
      </c>
      <c r="H19" s="13">
        <v>421</v>
      </c>
      <c r="I19" s="13">
        <v>333</v>
      </c>
      <c r="J19" s="13">
        <v>4049.04</v>
      </c>
      <c r="K19" s="13">
        <v>3358</v>
      </c>
      <c r="L19" s="13">
        <v>3348.11</v>
      </c>
      <c r="M19" s="13">
        <v>1294</v>
      </c>
      <c r="N19" s="13">
        <v>3707</v>
      </c>
      <c r="O19" s="13">
        <v>2412</v>
      </c>
      <c r="P19" s="13">
        <v>3842</v>
      </c>
      <c r="Q19" s="13">
        <v>214</v>
      </c>
      <c r="R19" s="13"/>
      <c r="S19" s="37"/>
      <c r="T19" s="13"/>
    </row>
    <row r="20" spans="1:20" ht="13.5" thickBot="1">
      <c r="A20" s="30" t="s">
        <v>58</v>
      </c>
      <c r="B20" s="36">
        <f t="shared" si="0"/>
        <v>0.6604643962848298</v>
      </c>
      <c r="C20" s="65">
        <f>E20-'[1]Austria'!E20</f>
        <v>-70.5</v>
      </c>
      <c r="D20" s="15">
        <f>F20-'[1]Austria'!F20</f>
        <v>-117</v>
      </c>
      <c r="E20" s="162">
        <v>2681.65</v>
      </c>
      <c r="F20" s="15">
        <v>1615</v>
      </c>
      <c r="G20" s="15">
        <v>2115.4700000000003</v>
      </c>
      <c r="H20" s="15">
        <v>211</v>
      </c>
      <c r="I20" s="112">
        <v>304.77</v>
      </c>
      <c r="J20" s="112">
        <v>325.33</v>
      </c>
      <c r="K20" s="112">
        <v>391</v>
      </c>
      <c r="L20" s="112">
        <v>1719.66</v>
      </c>
      <c r="M20" s="112">
        <v>306</v>
      </c>
      <c r="N20" s="112">
        <v>436</v>
      </c>
      <c r="O20" s="112">
        <v>2424</v>
      </c>
      <c r="P20" s="112">
        <v>356</v>
      </c>
      <c r="Q20" s="112">
        <v>173</v>
      </c>
      <c r="R20" s="15">
        <v>9155</v>
      </c>
      <c r="S20" s="39">
        <v>7719</v>
      </c>
      <c r="T20" s="13"/>
    </row>
    <row r="21" spans="1:19" ht="13.5" thickBot="1">
      <c r="A21" s="45" t="s">
        <v>22</v>
      </c>
      <c r="B21" s="41">
        <f t="shared" si="0"/>
        <v>0.024418226306062343</v>
      </c>
      <c r="C21" s="66">
        <f>E21-'[1]Austria'!E21</f>
        <v>-8187.149999999994</v>
      </c>
      <c r="D21" s="42">
        <f>F21-'[1]Austria'!F21</f>
        <v>-9753</v>
      </c>
      <c r="E21" s="138">
        <f>SUM(E2:E20)</f>
        <v>78710.15</v>
      </c>
      <c r="F21" s="42">
        <f>SUM(F2:F20)</f>
        <v>76834</v>
      </c>
      <c r="G21" s="42">
        <f>SUM(G2:G20)</f>
        <v>96753.37</v>
      </c>
      <c r="H21" s="42">
        <f aca="true" t="shared" si="1" ref="H21:M21">SUM(H2:H20)</f>
        <v>47026</v>
      </c>
      <c r="I21" s="42">
        <f t="shared" si="1"/>
        <v>23640.26</v>
      </c>
      <c r="J21" s="42">
        <f t="shared" si="1"/>
        <v>106837.11</v>
      </c>
      <c r="K21" s="42">
        <f t="shared" si="1"/>
        <v>110264</v>
      </c>
      <c r="L21" s="42">
        <f t="shared" si="1"/>
        <v>103019.49</v>
      </c>
      <c r="M21" s="42">
        <f t="shared" si="1"/>
        <v>88339</v>
      </c>
      <c r="N21" s="42">
        <f aca="true" t="shared" si="2" ref="N21:S21">SUM(N2:N20)</f>
        <v>125509</v>
      </c>
      <c r="O21" s="42">
        <f t="shared" si="2"/>
        <v>119136</v>
      </c>
      <c r="P21" s="42">
        <f t="shared" si="2"/>
        <v>118629</v>
      </c>
      <c r="Q21" s="42">
        <f t="shared" si="2"/>
        <v>104743</v>
      </c>
      <c r="R21" s="42">
        <f t="shared" si="2"/>
        <v>100734</v>
      </c>
      <c r="S21" s="43">
        <f t="shared" si="2"/>
        <v>90932</v>
      </c>
    </row>
    <row r="22" spans="2:17" s="9" customFormat="1" ht="12.75">
      <c r="B22" s="44"/>
      <c r="C22" s="44"/>
      <c r="D22" s="44"/>
      <c r="E22" s="44"/>
      <c r="F22" s="44"/>
      <c r="G22" s="44"/>
      <c r="H22" s="44"/>
      <c r="I22" s="44"/>
      <c r="J22" s="12"/>
      <c r="K22" s="12"/>
      <c r="L22" s="12"/>
      <c r="M22" s="12"/>
      <c r="N22" s="12"/>
      <c r="O22" s="12"/>
      <c r="P22" s="12"/>
      <c r="Q22" s="12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6"/>
      <c r="S37" s="1"/>
      <c r="T37" s="1"/>
    </row>
    <row r="38" spans="18:20" ht="18">
      <c r="R38" s="7"/>
      <c r="S38" s="2"/>
      <c r="T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5" width="11.421875" style="0" customWidth="1"/>
    <col min="6" max="7" width="11.421875" style="9" customWidth="1"/>
    <col min="8" max="8" width="11.28125" style="9" customWidth="1"/>
    <col min="9" max="9" width="10.28125" style="0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27" t="s">
        <v>4</v>
      </c>
      <c r="B2" s="35">
        <f>(E2-F2)/F2</f>
        <v>11.651515151515152</v>
      </c>
      <c r="C2" s="64">
        <f>E2-'[1]Belgium'!E2</f>
        <v>-533</v>
      </c>
      <c r="D2" s="13">
        <f>F2-'[1]Belgium'!F2</f>
        <v>-450</v>
      </c>
      <c r="E2" s="148">
        <v>2505</v>
      </c>
      <c r="F2" s="8">
        <v>198</v>
      </c>
      <c r="G2" s="13">
        <v>4056</v>
      </c>
      <c r="H2" s="13">
        <v>11</v>
      </c>
      <c r="I2" s="13">
        <v>325</v>
      </c>
      <c r="J2" s="13">
        <v>4029</v>
      </c>
      <c r="K2" s="13">
        <v>4830</v>
      </c>
      <c r="L2" s="13">
        <v>1418</v>
      </c>
      <c r="M2" s="13">
        <v>0</v>
      </c>
      <c r="N2" s="13">
        <v>1800</v>
      </c>
      <c r="O2" s="13">
        <v>0</v>
      </c>
      <c r="P2" s="13">
        <v>361</v>
      </c>
      <c r="Q2" s="13">
        <v>2100</v>
      </c>
      <c r="R2" s="13">
        <v>5200</v>
      </c>
      <c r="S2" s="37">
        <v>4600</v>
      </c>
    </row>
    <row r="3" spans="1:19" ht="12.75">
      <c r="A3" s="27" t="s">
        <v>159</v>
      </c>
      <c r="B3" s="149"/>
      <c r="C3" s="176">
        <f>E3-'[1]Belgium'!E3</f>
        <v>0</v>
      </c>
      <c r="D3" s="13">
        <f>F3-'[1]Belgium'!F3</f>
        <v>0</v>
      </c>
      <c r="E3" s="148"/>
      <c r="F3" s="8"/>
      <c r="G3" s="13"/>
      <c r="H3" s="13"/>
      <c r="I3" s="13"/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700</v>
      </c>
      <c r="S3" s="37">
        <v>300</v>
      </c>
    </row>
    <row r="4" spans="1:19" ht="12.75">
      <c r="A4" s="27" t="s">
        <v>2</v>
      </c>
      <c r="B4" s="149">
        <f aca="true" t="shared" si="0" ref="B4:B10">(E4-F4)/F4</f>
        <v>-0.9736842105263158</v>
      </c>
      <c r="C4" s="176">
        <f>E4-'[1]Belgium'!E4</f>
        <v>-300</v>
      </c>
      <c r="D4" s="13">
        <f>F4-'[1]Belgium'!F4</f>
        <v>-134</v>
      </c>
      <c r="E4" s="148">
        <v>8</v>
      </c>
      <c r="F4" s="8">
        <v>304</v>
      </c>
      <c r="G4" s="13">
        <v>1631</v>
      </c>
      <c r="H4" s="13">
        <v>26</v>
      </c>
      <c r="I4" s="13">
        <v>37</v>
      </c>
      <c r="J4" s="13">
        <v>704</v>
      </c>
      <c r="K4" s="13">
        <v>2016</v>
      </c>
      <c r="L4" s="13">
        <v>489</v>
      </c>
      <c r="M4" s="13">
        <v>497</v>
      </c>
      <c r="N4" s="13">
        <v>635</v>
      </c>
      <c r="O4" s="13">
        <v>180</v>
      </c>
      <c r="P4" s="13">
        <v>0</v>
      </c>
      <c r="Q4" s="13">
        <v>0</v>
      </c>
      <c r="R4" s="13">
        <v>1600</v>
      </c>
      <c r="S4" s="37">
        <v>400</v>
      </c>
    </row>
    <row r="5" spans="1:19" ht="12.75">
      <c r="A5" s="27" t="s">
        <v>100</v>
      </c>
      <c r="B5" s="149"/>
      <c r="C5" s="176">
        <f>E5-'[1]Belgium'!E5</f>
        <v>0</v>
      </c>
      <c r="D5" s="13">
        <f>F5-'[1]Belgium'!F5</f>
        <v>0</v>
      </c>
      <c r="E5" s="148"/>
      <c r="F5" s="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7">
        <v>700</v>
      </c>
    </row>
    <row r="6" spans="1:19" ht="12.75">
      <c r="A6" s="27" t="s">
        <v>3</v>
      </c>
      <c r="B6" s="149">
        <f t="shared" si="0"/>
        <v>-0.5594883809282594</v>
      </c>
      <c r="C6" s="176">
        <f>E6-'[1]Belgium'!E6</f>
        <v>-1552</v>
      </c>
      <c r="D6" s="13">
        <f>F6-'[1]Belgium'!F6</f>
        <v>-1704</v>
      </c>
      <c r="E6" s="148">
        <v>6957</v>
      </c>
      <c r="F6" s="8">
        <v>15793</v>
      </c>
      <c r="G6" s="13">
        <v>11638</v>
      </c>
      <c r="H6" s="13">
        <v>8552</v>
      </c>
      <c r="I6" s="13">
        <v>11266</v>
      </c>
      <c r="J6" s="13">
        <v>17415</v>
      </c>
      <c r="K6" s="13">
        <v>14921</v>
      </c>
      <c r="L6" s="13">
        <v>15479</v>
      </c>
      <c r="M6" s="13">
        <v>12159</v>
      </c>
      <c r="N6" s="13">
        <v>11635</v>
      </c>
      <c r="O6" s="13">
        <v>8704</v>
      </c>
      <c r="P6" s="13">
        <v>18722</v>
      </c>
      <c r="Q6" s="13">
        <v>12300</v>
      </c>
      <c r="R6" s="13">
        <v>15200</v>
      </c>
      <c r="S6" s="37">
        <v>15300</v>
      </c>
    </row>
    <row r="7" spans="1:19" ht="12.75">
      <c r="A7" s="28" t="s">
        <v>26</v>
      </c>
      <c r="B7" s="35">
        <f t="shared" si="0"/>
        <v>-0.36811144246088484</v>
      </c>
      <c r="C7" s="64">
        <f>E7-'[1]Belgium'!E7</f>
        <v>-3163</v>
      </c>
      <c r="D7" s="13">
        <f>F7-'[1]Belgium'!F7</f>
        <v>-4690</v>
      </c>
      <c r="E7" s="148">
        <v>30936</v>
      </c>
      <c r="F7" s="8">
        <v>48958</v>
      </c>
      <c r="G7" s="13">
        <v>44726</v>
      </c>
      <c r="H7" s="13">
        <v>3153</v>
      </c>
      <c r="I7" s="111">
        <v>35693</v>
      </c>
      <c r="J7" s="111">
        <v>61002</v>
      </c>
      <c r="K7" s="111">
        <v>71845</v>
      </c>
      <c r="L7" s="111">
        <v>42879</v>
      </c>
      <c r="M7" s="111">
        <v>38164</v>
      </c>
      <c r="N7" s="111">
        <v>40760</v>
      </c>
      <c r="O7" s="111">
        <v>49520</v>
      </c>
      <c r="P7" s="111">
        <v>74607</v>
      </c>
      <c r="Q7" s="111">
        <v>99200</v>
      </c>
      <c r="R7" s="13">
        <v>79300</v>
      </c>
      <c r="S7" s="37">
        <v>99200</v>
      </c>
    </row>
    <row r="8" spans="1:19" ht="12.75">
      <c r="A8" s="29" t="s">
        <v>25</v>
      </c>
      <c r="B8" s="35">
        <f t="shared" si="0"/>
        <v>-0.6423334190892719</v>
      </c>
      <c r="C8" s="64">
        <f>E8-'[1]Belgium'!E8</f>
        <v>-1129</v>
      </c>
      <c r="D8" s="13">
        <f>F8-'[1]Belgium'!F8</f>
        <v>-1976</v>
      </c>
      <c r="E8" s="148">
        <v>11122</v>
      </c>
      <c r="F8" s="8">
        <v>31096</v>
      </c>
      <c r="G8" s="13">
        <v>34899</v>
      </c>
      <c r="H8" s="13">
        <v>943</v>
      </c>
      <c r="I8" s="111">
        <v>24615</v>
      </c>
      <c r="J8" s="111">
        <v>28715</v>
      </c>
      <c r="K8" s="111">
        <v>42619</v>
      </c>
      <c r="L8" s="111">
        <v>20915</v>
      </c>
      <c r="M8" s="111">
        <v>24056</v>
      </c>
      <c r="N8" s="111">
        <v>28000</v>
      </c>
      <c r="O8" s="111">
        <v>21055.805331768952</v>
      </c>
      <c r="P8" s="111">
        <v>28449</v>
      </c>
      <c r="Q8" s="111">
        <v>34300</v>
      </c>
      <c r="R8" s="13">
        <v>33500</v>
      </c>
      <c r="S8" s="37">
        <v>31900</v>
      </c>
    </row>
    <row r="9" spans="1:19" ht="13.5" thickBot="1">
      <c r="A9" s="30" t="s">
        <v>58</v>
      </c>
      <c r="B9" s="36">
        <f t="shared" si="0"/>
        <v>1.0607895917451773</v>
      </c>
      <c r="C9" s="65">
        <f>E9-'[1]Belgium'!E9</f>
        <v>-2584</v>
      </c>
      <c r="D9" s="15">
        <f>F9-'[1]Belgium'!F9</f>
        <v>-6014</v>
      </c>
      <c r="E9" s="162">
        <v>18374</v>
      </c>
      <c r="F9" s="15">
        <v>8916</v>
      </c>
      <c r="G9" s="15">
        <v>18968</v>
      </c>
      <c r="H9" s="15">
        <v>3294</v>
      </c>
      <c r="I9" s="112">
        <v>1536</v>
      </c>
      <c r="J9" s="112">
        <v>19229</v>
      </c>
      <c r="K9" s="112">
        <v>12775</v>
      </c>
      <c r="L9" s="112">
        <v>9598</v>
      </c>
      <c r="M9" s="112">
        <v>6994</v>
      </c>
      <c r="N9" s="112">
        <v>14000</v>
      </c>
      <c r="O9" s="112">
        <v>12893.38906101083</v>
      </c>
      <c r="P9" s="112">
        <v>8269</v>
      </c>
      <c r="Q9" s="112">
        <v>20300</v>
      </c>
      <c r="R9" s="15">
        <v>20000</v>
      </c>
      <c r="S9" s="39">
        <v>2700</v>
      </c>
    </row>
    <row r="10" spans="1:19" ht="13.5" thickBot="1">
      <c r="A10" s="45" t="s">
        <v>22</v>
      </c>
      <c r="B10" s="41">
        <f t="shared" si="0"/>
        <v>-0.3359426210041324</v>
      </c>
      <c r="C10" s="66">
        <f>E10-'[1]Belgium'!E10</f>
        <v>-9261</v>
      </c>
      <c r="D10" s="42">
        <f>F10-'[1]Belgium'!F10</f>
        <v>-14968</v>
      </c>
      <c r="E10" s="138">
        <f>SUM(E2:E9)</f>
        <v>69902</v>
      </c>
      <c r="F10" s="42">
        <f>SUM(F2:F9)</f>
        <v>105265</v>
      </c>
      <c r="G10" s="42">
        <v>115918</v>
      </c>
      <c r="H10" s="42">
        <f aca="true" t="shared" si="1" ref="H10:N10">SUM(H2:H9)</f>
        <v>15979</v>
      </c>
      <c r="I10" s="42">
        <f t="shared" si="1"/>
        <v>73472</v>
      </c>
      <c r="J10" s="42">
        <f t="shared" si="1"/>
        <v>131094</v>
      </c>
      <c r="K10" s="42">
        <f t="shared" si="1"/>
        <v>149006</v>
      </c>
      <c r="L10" s="42">
        <f t="shared" si="1"/>
        <v>90778</v>
      </c>
      <c r="M10" s="42">
        <f t="shared" si="1"/>
        <v>81870</v>
      </c>
      <c r="N10" s="42">
        <f t="shared" si="1"/>
        <v>96830</v>
      </c>
      <c r="O10" s="42">
        <v>92353.19439277978</v>
      </c>
      <c r="P10" s="42">
        <f>SUM(P2:P9)</f>
        <v>130408</v>
      </c>
      <c r="Q10" s="42">
        <f>SUM(Q2:Q9)</f>
        <v>168200</v>
      </c>
      <c r="R10" s="42">
        <f>SUM(R2:R9)</f>
        <v>155500</v>
      </c>
      <c r="S10" s="43">
        <f>SUM(S2:S9)</f>
        <v>155100</v>
      </c>
    </row>
    <row r="11" spans="1:17" s="9" customFormat="1" ht="12.75">
      <c r="A11" s="9" t="s">
        <v>101</v>
      </c>
      <c r="B11" s="44"/>
      <c r="C11" s="44"/>
      <c r="D11" s="44"/>
      <c r="E11" s="44"/>
      <c r="F11" s="198"/>
      <c r="G11" s="44"/>
      <c r="H11" s="44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9" customFormat="1" ht="12.75">
      <c r="A12" s="127" t="s">
        <v>158</v>
      </c>
      <c r="B12" s="44"/>
      <c r="C12" s="44"/>
      <c r="D12" s="44"/>
      <c r="E12" s="44"/>
      <c r="F12" s="198"/>
      <c r="G12" s="44"/>
      <c r="H12" s="44"/>
      <c r="I12" s="12"/>
      <c r="J12" s="12"/>
      <c r="K12" s="12"/>
      <c r="L12" s="12"/>
      <c r="M12" s="12"/>
      <c r="N12" s="12"/>
      <c r="O12" s="12"/>
      <c r="P12" s="12"/>
      <c r="Q12" s="12"/>
    </row>
    <row r="13" spans="2:17" s="9" customFormat="1" ht="13.5" thickBot="1">
      <c r="B13" s="44"/>
      <c r="C13" s="44"/>
      <c r="D13" s="44"/>
      <c r="E13" s="44"/>
      <c r="F13" s="198"/>
      <c r="G13" s="44"/>
      <c r="H13" s="44"/>
      <c r="I13" s="12"/>
      <c r="J13" s="12"/>
      <c r="K13" s="12"/>
      <c r="L13" s="12"/>
      <c r="M13" s="12"/>
      <c r="N13" s="12"/>
      <c r="O13" s="12"/>
      <c r="P13" s="12"/>
      <c r="Q13" s="12"/>
    </row>
    <row r="14" spans="1:19" s="16" customFormat="1" ht="13.5" thickBot="1">
      <c r="A14" s="31" t="s">
        <v>24</v>
      </c>
      <c r="B14" s="32" t="s">
        <v>172</v>
      </c>
      <c r="C14" s="63" t="s">
        <v>173</v>
      </c>
      <c r="D14" s="110" t="s">
        <v>166</v>
      </c>
      <c r="E14" s="161">
        <v>44228</v>
      </c>
      <c r="F14" s="113">
        <v>43862</v>
      </c>
      <c r="G14" s="113">
        <v>43497</v>
      </c>
      <c r="H14" s="113">
        <v>43132</v>
      </c>
      <c r="I14" s="33">
        <v>42767</v>
      </c>
      <c r="J14" s="33">
        <v>42401</v>
      </c>
      <c r="K14" s="33">
        <v>42036</v>
      </c>
      <c r="L14" s="33">
        <v>41671</v>
      </c>
      <c r="M14" s="33">
        <v>41306</v>
      </c>
      <c r="N14" s="33">
        <v>40940</v>
      </c>
      <c r="O14" s="33">
        <v>40575</v>
      </c>
      <c r="P14" s="33">
        <v>40210</v>
      </c>
      <c r="Q14" s="33">
        <v>39845</v>
      </c>
      <c r="R14" s="33">
        <v>39479</v>
      </c>
      <c r="S14" s="34">
        <v>39114</v>
      </c>
    </row>
    <row r="15" spans="1:19" ht="12.75">
      <c r="A15" s="27" t="s">
        <v>7</v>
      </c>
      <c r="B15" s="35">
        <f>(E15-F15)/F15</f>
        <v>0.4511963855330659</v>
      </c>
      <c r="C15" s="64">
        <f>E15-'[1]Belgium'!E15</f>
        <v>-36883</v>
      </c>
      <c r="D15" s="13">
        <f>F15-'[1]Belgium'!F15</f>
        <v>-36503</v>
      </c>
      <c r="E15" s="148">
        <v>192076</v>
      </c>
      <c r="F15" s="8">
        <v>132357</v>
      </c>
      <c r="G15" s="13">
        <v>170366</v>
      </c>
      <c r="H15" s="13">
        <v>120489</v>
      </c>
      <c r="I15" s="13">
        <v>147720</v>
      </c>
      <c r="J15" s="13">
        <v>174000</v>
      </c>
      <c r="K15" s="13">
        <v>149562</v>
      </c>
      <c r="L15" s="13">
        <v>115829</v>
      </c>
      <c r="M15" s="13">
        <v>86059</v>
      </c>
      <c r="N15" s="13">
        <v>91000</v>
      </c>
      <c r="O15" s="13">
        <v>98500</v>
      </c>
      <c r="P15" s="13">
        <v>93600</v>
      </c>
      <c r="Q15" s="13">
        <v>39400</v>
      </c>
      <c r="R15" s="13">
        <v>91400</v>
      </c>
      <c r="S15" s="37">
        <v>101600</v>
      </c>
    </row>
    <row r="16" spans="1:19" ht="12.75">
      <c r="A16" s="27" t="s">
        <v>99</v>
      </c>
      <c r="B16" s="35">
        <f>(E16-F16)/F16</f>
        <v>15.27177700348432</v>
      </c>
      <c r="C16" s="64">
        <f>E16-'[1]Belgium'!E16</f>
        <v>-1349</v>
      </c>
      <c r="D16" s="13">
        <f>F16-'[1]Belgium'!F16</f>
        <v>-1422</v>
      </c>
      <c r="E16" s="148">
        <v>4670</v>
      </c>
      <c r="F16" s="8">
        <v>287</v>
      </c>
      <c r="G16" s="13">
        <v>2821</v>
      </c>
      <c r="H16" s="13">
        <v>197</v>
      </c>
      <c r="I16" s="13">
        <v>1040</v>
      </c>
      <c r="J16" s="13">
        <v>2748</v>
      </c>
      <c r="K16" s="13">
        <v>3747</v>
      </c>
      <c r="L16" s="13">
        <v>4192</v>
      </c>
      <c r="M16" s="13">
        <v>196</v>
      </c>
      <c r="N16" s="13">
        <v>900</v>
      </c>
      <c r="O16" s="13">
        <v>900</v>
      </c>
      <c r="P16" s="13">
        <v>1900</v>
      </c>
      <c r="Q16" s="13">
        <v>0</v>
      </c>
      <c r="R16" s="13">
        <v>0</v>
      </c>
      <c r="S16" s="37">
        <v>1400</v>
      </c>
    </row>
    <row r="17" spans="1:19" ht="12.75">
      <c r="A17" s="54" t="s">
        <v>160</v>
      </c>
      <c r="B17" s="35"/>
      <c r="C17" s="64">
        <f>E17-'[1]Belgium'!E17</f>
        <v>-98</v>
      </c>
      <c r="D17" s="13">
        <f>F17-'[1]Belgium'!F17</f>
        <v>-368</v>
      </c>
      <c r="E17" s="148">
        <v>193</v>
      </c>
      <c r="F17" s="8">
        <v>0</v>
      </c>
      <c r="G17" s="13">
        <v>18</v>
      </c>
      <c r="H17" s="13">
        <v>0</v>
      </c>
      <c r="I17" s="13">
        <v>0</v>
      </c>
      <c r="J17" s="13">
        <v>0</v>
      </c>
      <c r="K17" s="13"/>
      <c r="L17" s="13"/>
      <c r="M17" s="13"/>
      <c r="N17" s="13"/>
      <c r="O17" s="13"/>
      <c r="P17" s="13"/>
      <c r="Q17" s="13"/>
      <c r="R17" s="13"/>
      <c r="S17" s="37"/>
    </row>
    <row r="18" spans="1:19" ht="13.5" thickBot="1">
      <c r="A18" s="38" t="s">
        <v>6</v>
      </c>
      <c r="B18" s="36">
        <f>(E18-F18)/F18</f>
        <v>0.2735135135135135</v>
      </c>
      <c r="C18" s="65">
        <f>E18-'[1]Belgium'!E18</f>
        <v>-1414</v>
      </c>
      <c r="D18" s="15">
        <f>F18-'[1]Belgium'!F18</f>
        <v>-2570</v>
      </c>
      <c r="E18" s="162">
        <v>1178</v>
      </c>
      <c r="F18" s="15">
        <v>925</v>
      </c>
      <c r="G18" s="15">
        <v>2012</v>
      </c>
      <c r="H18" s="15">
        <v>511</v>
      </c>
      <c r="I18" s="15">
        <v>914</v>
      </c>
      <c r="J18" s="15">
        <v>863</v>
      </c>
      <c r="K18" s="15">
        <v>2419</v>
      </c>
      <c r="L18" s="15">
        <v>1682</v>
      </c>
      <c r="M18" s="15">
        <v>0</v>
      </c>
      <c r="N18" s="15">
        <v>240</v>
      </c>
      <c r="O18" s="15">
        <v>400</v>
      </c>
      <c r="P18" s="15">
        <v>0</v>
      </c>
      <c r="Q18" s="15">
        <v>0</v>
      </c>
      <c r="R18" s="15">
        <v>1150</v>
      </c>
      <c r="S18" s="39">
        <v>1200</v>
      </c>
    </row>
    <row r="19" spans="1:19" ht="13.5" thickBot="1">
      <c r="A19" s="40" t="s">
        <v>22</v>
      </c>
      <c r="B19" s="41">
        <f>(E19-F19)/F19</f>
        <v>0.48325584529344384</v>
      </c>
      <c r="C19" s="66">
        <f>E19-'[1]Belgium'!E19</f>
        <v>-39744</v>
      </c>
      <c r="D19" s="42">
        <f>F19-'[1]Belgium'!F19</f>
        <v>-40863</v>
      </c>
      <c r="E19" s="138">
        <f>SUM(E15:E18)</f>
        <v>198117</v>
      </c>
      <c r="F19" s="42">
        <f>SUM(F15:F18)</f>
        <v>133569</v>
      </c>
      <c r="G19" s="42">
        <f>SUM(G15:G18)</f>
        <v>175217</v>
      </c>
      <c r="H19" s="42">
        <f aca="true" t="shared" si="2" ref="H19:M19">SUM(H15:H18)</f>
        <v>121197</v>
      </c>
      <c r="I19" s="42">
        <f t="shared" si="2"/>
        <v>149674</v>
      </c>
      <c r="J19" s="42">
        <f t="shared" si="2"/>
        <v>177611</v>
      </c>
      <c r="K19" s="42">
        <f t="shared" si="2"/>
        <v>155728</v>
      </c>
      <c r="L19" s="42">
        <f t="shared" si="2"/>
        <v>121703</v>
      </c>
      <c r="M19" s="42">
        <f t="shared" si="2"/>
        <v>86255</v>
      </c>
      <c r="N19" s="42">
        <f aca="true" t="shared" si="3" ref="N19:S19">SUM(N15:N18)</f>
        <v>92140</v>
      </c>
      <c r="O19" s="42">
        <v>99800</v>
      </c>
      <c r="P19" s="42">
        <f t="shared" si="3"/>
        <v>95500</v>
      </c>
      <c r="Q19" s="42">
        <f t="shared" si="3"/>
        <v>39400</v>
      </c>
      <c r="R19" s="42">
        <f t="shared" si="3"/>
        <v>92550</v>
      </c>
      <c r="S19" s="43">
        <f t="shared" si="3"/>
        <v>104200</v>
      </c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6"/>
      <c r="S36" s="1"/>
      <c r="T36" s="1"/>
    </row>
    <row r="37" spans="18:20" ht="18">
      <c r="R37" s="7"/>
      <c r="S37" s="2"/>
      <c r="T3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bestFit="1" customWidth="1"/>
    <col min="4" max="5" width="11.421875" style="115" customWidth="1"/>
    <col min="6" max="7" width="11.421875" style="116" customWidth="1"/>
    <col min="8" max="8" width="11.7109375" style="116" customWidth="1"/>
    <col min="9" max="9" width="10.7109375" style="115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s="16" customFormat="1" ht="12.75">
      <c r="A2" s="54" t="s">
        <v>11</v>
      </c>
      <c r="B2" s="35">
        <f>(E2-F2)/F2</f>
        <v>0.9065238558909445</v>
      </c>
      <c r="C2" s="64">
        <f>E2-'[1]Czech Republic'!E2</f>
        <v>-955</v>
      </c>
      <c r="D2" s="93">
        <f>F2-'[1]Czech Republic'!F2</f>
        <v>-1202</v>
      </c>
      <c r="E2" s="57">
        <v>3916</v>
      </c>
      <c r="F2" s="93">
        <v>2054</v>
      </c>
      <c r="G2" s="93">
        <v>3327</v>
      </c>
      <c r="H2" s="122">
        <v>1425</v>
      </c>
      <c r="I2" s="13">
        <v>1419</v>
      </c>
      <c r="J2" s="158"/>
      <c r="K2" s="158"/>
      <c r="L2" s="158"/>
      <c r="M2" s="158"/>
      <c r="N2" s="158"/>
      <c r="O2" s="158"/>
      <c r="P2" s="158"/>
      <c r="Q2" s="158"/>
      <c r="R2" s="158"/>
      <c r="S2" s="159"/>
    </row>
    <row r="3" spans="1:19" ht="12.75">
      <c r="A3" s="27" t="s">
        <v>9</v>
      </c>
      <c r="B3" s="35">
        <f aca="true" t="shared" si="0" ref="B3:B12">(E3-F3)/F3</f>
        <v>0.780968709815688</v>
      </c>
      <c r="C3" s="64">
        <f>E3-'[1]Czech Republic'!E3</f>
        <v>-1836</v>
      </c>
      <c r="D3" s="122">
        <f>F3-'[1]Czech Republic'!F3</f>
        <v>-1173</v>
      </c>
      <c r="E3" s="163">
        <v>4155</v>
      </c>
      <c r="F3" s="122">
        <v>2333</v>
      </c>
      <c r="G3" s="122">
        <v>2179</v>
      </c>
      <c r="H3" s="122">
        <v>2366</v>
      </c>
      <c r="I3" s="13">
        <v>2377</v>
      </c>
      <c r="J3" s="13">
        <v>2581</v>
      </c>
      <c r="K3" s="13">
        <v>998</v>
      </c>
      <c r="L3" s="13">
        <v>1107</v>
      </c>
      <c r="M3" s="13">
        <v>106</v>
      </c>
      <c r="N3" s="13">
        <v>193</v>
      </c>
      <c r="O3" s="13">
        <v>59</v>
      </c>
      <c r="P3" s="13">
        <v>95</v>
      </c>
      <c r="Q3" s="13">
        <v>99</v>
      </c>
      <c r="R3" s="13">
        <v>111</v>
      </c>
      <c r="S3" s="37">
        <v>93</v>
      </c>
    </row>
    <row r="4" spans="1:19" ht="12.75">
      <c r="A4" s="27" t="s">
        <v>14</v>
      </c>
      <c r="B4" s="35">
        <f t="shared" si="0"/>
        <v>0.8918918918918919</v>
      </c>
      <c r="C4" s="64">
        <f>E4-'[1]Czech Republic'!E4</f>
        <v>-80</v>
      </c>
      <c r="D4" s="122">
        <f>F4-'[1]Czech Republic'!F4</f>
        <v>-21</v>
      </c>
      <c r="E4" s="163">
        <v>280</v>
      </c>
      <c r="F4" s="122">
        <v>148</v>
      </c>
      <c r="G4" s="122">
        <v>1121</v>
      </c>
      <c r="H4" s="122">
        <v>516</v>
      </c>
      <c r="I4" s="13">
        <v>258</v>
      </c>
      <c r="J4" s="13">
        <v>759</v>
      </c>
      <c r="K4" s="13">
        <v>1073</v>
      </c>
      <c r="L4" s="13">
        <v>546</v>
      </c>
      <c r="M4" s="13">
        <v>1315</v>
      </c>
      <c r="N4" s="13">
        <v>883</v>
      </c>
      <c r="O4" s="13">
        <v>945</v>
      </c>
      <c r="P4" s="13">
        <v>1169</v>
      </c>
      <c r="Q4" s="13">
        <v>1617</v>
      </c>
      <c r="R4" s="13">
        <v>861</v>
      </c>
      <c r="S4" s="37">
        <v>864</v>
      </c>
    </row>
    <row r="5" spans="1:19" ht="12.75">
      <c r="A5" s="27" t="s">
        <v>3</v>
      </c>
      <c r="B5" s="35">
        <f t="shared" si="0"/>
        <v>0.07986039827550812</v>
      </c>
      <c r="C5" s="64">
        <f>E5-'[1]Czech Republic'!E5</f>
        <v>-2706</v>
      </c>
      <c r="D5" s="122">
        <f>F5-'[1]Czech Republic'!F5</f>
        <v>-2124</v>
      </c>
      <c r="E5" s="163">
        <v>10520</v>
      </c>
      <c r="F5" s="122">
        <v>9742</v>
      </c>
      <c r="G5" s="122">
        <v>12995</v>
      </c>
      <c r="H5" s="122">
        <v>10702</v>
      </c>
      <c r="I5" s="13">
        <v>9275</v>
      </c>
      <c r="J5" s="13">
        <v>11822</v>
      </c>
      <c r="K5" s="13">
        <v>11037</v>
      </c>
      <c r="L5" s="13">
        <v>7772</v>
      </c>
      <c r="M5" s="13">
        <v>6204</v>
      </c>
      <c r="N5" s="13">
        <v>7693</v>
      </c>
      <c r="O5" s="13">
        <v>4853</v>
      </c>
      <c r="P5" s="13">
        <v>7046</v>
      </c>
      <c r="Q5" s="13">
        <v>6354</v>
      </c>
      <c r="R5" s="13">
        <v>4470</v>
      </c>
      <c r="S5" s="37">
        <v>3698</v>
      </c>
    </row>
    <row r="6" spans="1:19" ht="12.75">
      <c r="A6" s="27" t="s">
        <v>10</v>
      </c>
      <c r="B6" s="35">
        <f t="shared" si="0"/>
        <v>0.7430376112546655</v>
      </c>
      <c r="C6" s="64">
        <f>E6-'[1]Czech Republic'!E6</f>
        <v>-884</v>
      </c>
      <c r="D6" s="122">
        <f>F6-'[1]Czech Republic'!F6</f>
        <v>-851</v>
      </c>
      <c r="E6" s="163">
        <v>6071</v>
      </c>
      <c r="F6" s="122">
        <v>3483</v>
      </c>
      <c r="G6" s="122">
        <v>10578</v>
      </c>
      <c r="H6" s="122">
        <v>5722</v>
      </c>
      <c r="I6" s="13">
        <v>5033</v>
      </c>
      <c r="J6" s="13">
        <v>9963</v>
      </c>
      <c r="K6" s="13">
        <v>7949</v>
      </c>
      <c r="L6" s="13">
        <v>8756</v>
      </c>
      <c r="M6" s="13">
        <v>11776</v>
      </c>
      <c r="N6" s="13">
        <v>4661</v>
      </c>
      <c r="O6" s="13">
        <v>9908</v>
      </c>
      <c r="P6" s="13">
        <v>14771</v>
      </c>
      <c r="Q6" s="13">
        <v>16121</v>
      </c>
      <c r="R6" s="13">
        <v>9303</v>
      </c>
      <c r="S6" s="37">
        <v>14154</v>
      </c>
    </row>
    <row r="7" spans="1:19" ht="12.75">
      <c r="A7" s="27" t="s">
        <v>26</v>
      </c>
      <c r="B7" s="149">
        <f t="shared" si="0"/>
        <v>0.8025128865979382</v>
      </c>
      <c r="C7" s="176">
        <f>E7-'[1]Czech Republic'!E7</f>
        <v>-1792</v>
      </c>
      <c r="D7" s="122">
        <f>F7-'[1]Czech Republic'!F7</f>
        <v>-1520</v>
      </c>
      <c r="E7" s="163">
        <v>5595</v>
      </c>
      <c r="F7" s="122">
        <v>3104</v>
      </c>
      <c r="G7" s="122">
        <v>6997</v>
      </c>
      <c r="H7" s="122">
        <v>2148</v>
      </c>
      <c r="I7" s="13">
        <v>2991</v>
      </c>
      <c r="J7" s="13">
        <v>5535</v>
      </c>
      <c r="K7" s="13">
        <v>3718</v>
      </c>
      <c r="L7" s="13">
        <v>3570</v>
      </c>
      <c r="M7" s="13">
        <v>2328</v>
      </c>
      <c r="N7" s="13">
        <v>1713</v>
      </c>
      <c r="O7" s="13">
        <v>1818</v>
      </c>
      <c r="P7" s="13">
        <v>3287</v>
      </c>
      <c r="Q7" s="13">
        <v>3646</v>
      </c>
      <c r="R7" s="13">
        <v>1376</v>
      </c>
      <c r="S7" s="37">
        <v>2113</v>
      </c>
    </row>
    <row r="8" spans="1:19" ht="12.75">
      <c r="A8" s="27" t="s">
        <v>19</v>
      </c>
      <c r="B8" s="149">
        <f t="shared" si="0"/>
        <v>0.5276497695852534</v>
      </c>
      <c r="C8" s="176">
        <f>E8-'[1]Czech Republic'!E8</f>
        <v>-339</v>
      </c>
      <c r="D8" s="122">
        <f>F8-'[1]Czech Republic'!F8</f>
        <v>-257</v>
      </c>
      <c r="E8" s="163">
        <v>1326</v>
      </c>
      <c r="F8" s="122">
        <v>868</v>
      </c>
      <c r="G8" s="122">
        <v>2041</v>
      </c>
      <c r="H8" s="122">
        <v>620</v>
      </c>
      <c r="I8" s="13">
        <v>224</v>
      </c>
      <c r="J8" s="13">
        <v>747</v>
      </c>
      <c r="K8" s="13">
        <v>32</v>
      </c>
      <c r="L8" s="13">
        <v>120</v>
      </c>
      <c r="M8" s="13">
        <v>157</v>
      </c>
      <c r="N8" s="13">
        <v>30</v>
      </c>
      <c r="O8" s="13">
        <v>40</v>
      </c>
      <c r="P8" s="13">
        <v>28</v>
      </c>
      <c r="Q8" s="13">
        <v>94</v>
      </c>
      <c r="R8" s="13">
        <v>142</v>
      </c>
      <c r="S8" s="37">
        <v>90</v>
      </c>
    </row>
    <row r="9" spans="1:19" ht="12.75">
      <c r="A9" s="54" t="s">
        <v>87</v>
      </c>
      <c r="B9" s="149">
        <f t="shared" si="0"/>
        <v>2.1261061946902653</v>
      </c>
      <c r="C9" s="176">
        <f>E9-'[1]Czech Republic'!E9</f>
        <v>-61</v>
      </c>
      <c r="D9" s="122">
        <f>F9-'[1]Czech Republic'!F9</f>
        <v>-245</v>
      </c>
      <c r="E9" s="163">
        <v>1413</v>
      </c>
      <c r="F9" s="122">
        <v>452</v>
      </c>
      <c r="G9" s="122">
        <v>1890</v>
      </c>
      <c r="H9" s="122">
        <v>801</v>
      </c>
      <c r="I9" s="13">
        <v>1283</v>
      </c>
      <c r="J9" s="13">
        <v>1740</v>
      </c>
      <c r="K9" s="13">
        <v>1307</v>
      </c>
      <c r="L9" s="13">
        <v>564</v>
      </c>
      <c r="M9" s="13">
        <v>639</v>
      </c>
      <c r="N9" s="13">
        <v>471</v>
      </c>
      <c r="O9" s="13">
        <v>454</v>
      </c>
      <c r="P9" s="13">
        <v>455</v>
      </c>
      <c r="Q9" s="13">
        <v>901</v>
      </c>
      <c r="R9" s="13">
        <v>469</v>
      </c>
      <c r="S9" s="37">
        <v>1062</v>
      </c>
    </row>
    <row r="10" spans="1:19" ht="12.75">
      <c r="A10" s="27" t="s">
        <v>34</v>
      </c>
      <c r="B10" s="149">
        <f t="shared" si="0"/>
        <v>3.55</v>
      </c>
      <c r="C10" s="176">
        <f>E10-'[1]Czech Republic'!E10</f>
        <v>-121</v>
      </c>
      <c r="D10" s="122">
        <f>F10-'[1]Czech Republic'!F10</f>
        <v>-8</v>
      </c>
      <c r="E10" s="163">
        <v>182</v>
      </c>
      <c r="F10" s="122">
        <v>40</v>
      </c>
      <c r="G10" s="122">
        <v>9</v>
      </c>
      <c r="H10" s="122">
        <v>4</v>
      </c>
      <c r="I10" s="13">
        <v>3</v>
      </c>
      <c r="J10" s="13">
        <v>50</v>
      </c>
      <c r="K10" s="13">
        <v>39</v>
      </c>
      <c r="L10" s="13">
        <v>0</v>
      </c>
      <c r="M10" s="13">
        <v>200</v>
      </c>
      <c r="N10" s="13">
        <v>11</v>
      </c>
      <c r="O10" s="13">
        <v>16</v>
      </c>
      <c r="P10" s="13">
        <v>99</v>
      </c>
      <c r="Q10" s="13">
        <v>23</v>
      </c>
      <c r="R10" s="13">
        <v>148</v>
      </c>
      <c r="S10" s="37">
        <v>9</v>
      </c>
    </row>
    <row r="11" spans="1:19" ht="13.5" thickBot="1">
      <c r="A11" s="30" t="s">
        <v>58</v>
      </c>
      <c r="B11" s="150">
        <f t="shared" si="0"/>
        <v>1.733587786259542</v>
      </c>
      <c r="C11" s="177">
        <f>E11-'[1]Czech Republic'!E11</f>
        <v>-433</v>
      </c>
      <c r="D11" s="123">
        <f>F11-'[1]Czech Republic'!F11</f>
        <v>-834</v>
      </c>
      <c r="E11" s="168">
        <v>3581</v>
      </c>
      <c r="F11" s="123">
        <v>1310</v>
      </c>
      <c r="G11" s="123">
        <v>4140</v>
      </c>
      <c r="H11" s="123">
        <v>1760</v>
      </c>
      <c r="I11" s="13">
        <v>2245</v>
      </c>
      <c r="J11" s="112">
        <v>3905</v>
      </c>
      <c r="K11" s="112">
        <v>3530</v>
      </c>
      <c r="L11" s="112">
        <v>2904</v>
      </c>
      <c r="M11" s="112">
        <v>2276</v>
      </c>
      <c r="N11" s="112">
        <v>917</v>
      </c>
      <c r="O11" s="112">
        <v>1923</v>
      </c>
      <c r="P11" s="112">
        <v>2868</v>
      </c>
      <c r="Q11" s="112">
        <v>3986</v>
      </c>
      <c r="R11" s="15">
        <v>1819</v>
      </c>
      <c r="S11" s="39">
        <v>3228</v>
      </c>
    </row>
    <row r="12" spans="1:19" ht="13.5" thickBot="1">
      <c r="A12" s="45" t="s">
        <v>22</v>
      </c>
      <c r="B12" s="151">
        <f t="shared" si="0"/>
        <v>0.573850599133169</v>
      </c>
      <c r="C12" s="178">
        <f>E12-'[1]Czech Republic'!E12</f>
        <v>-9207</v>
      </c>
      <c r="D12" s="124">
        <f>F12-'[1]Czech Republic'!F12</f>
        <v>-8235</v>
      </c>
      <c r="E12" s="169">
        <f>SUM(E2:E11)</f>
        <v>37039</v>
      </c>
      <c r="F12" s="124">
        <f>SUM(F2:F11)</f>
        <v>23534</v>
      </c>
      <c r="G12" s="124">
        <v>45277</v>
      </c>
      <c r="H12" s="124">
        <f>SUM(H2:H11)</f>
        <v>26064</v>
      </c>
      <c r="I12" s="167">
        <f>SUM(I2:I11)</f>
        <v>25108</v>
      </c>
      <c r="J12" s="42">
        <f>SUM(J3:J11)</f>
        <v>37102</v>
      </c>
      <c r="K12" s="42">
        <f>SUM(K3:K11)</f>
        <v>29683</v>
      </c>
      <c r="L12" s="42">
        <f>SUM(L3:L11)</f>
        <v>25339</v>
      </c>
      <c r="M12" s="42">
        <f>SUM(M3:M11)</f>
        <v>25001</v>
      </c>
      <c r="N12" s="42">
        <f aca="true" t="shared" si="1" ref="N12:S12">SUM(N3:N11)</f>
        <v>16572</v>
      </c>
      <c r="O12" s="42">
        <f t="shared" si="1"/>
        <v>20016</v>
      </c>
      <c r="P12" s="42">
        <f t="shared" si="1"/>
        <v>29818</v>
      </c>
      <c r="Q12" s="42">
        <f t="shared" si="1"/>
        <v>32841</v>
      </c>
      <c r="R12" s="42">
        <f t="shared" si="1"/>
        <v>18699</v>
      </c>
      <c r="S12" s="43">
        <f t="shared" si="1"/>
        <v>25311</v>
      </c>
    </row>
    <row r="13" spans="2:17" s="9" customFormat="1" ht="12.75">
      <c r="B13" s="152"/>
      <c r="C13" s="152"/>
      <c r="D13" s="114"/>
      <c r="E13" s="114"/>
      <c r="F13" s="114"/>
      <c r="G13" s="114"/>
      <c r="H13" s="114"/>
      <c r="I13" s="114"/>
      <c r="J13" s="12"/>
      <c r="K13" s="12"/>
      <c r="L13" s="12"/>
      <c r="M13" s="12"/>
      <c r="N13" s="12"/>
      <c r="O13" s="12"/>
      <c r="P13" s="12"/>
      <c r="Q13" s="12"/>
    </row>
    <row r="14" spans="2:9" ht="13.5" thickBot="1">
      <c r="B14" s="144"/>
      <c r="C14" s="144"/>
      <c r="D14" s="116"/>
      <c r="E14" s="116"/>
      <c r="I14" s="116"/>
    </row>
    <row r="15" spans="1:19" ht="13.5" thickBot="1">
      <c r="A15" s="68" t="s">
        <v>24</v>
      </c>
      <c r="B15" s="32" t="s">
        <v>172</v>
      </c>
      <c r="C15" s="63" t="s">
        <v>173</v>
      </c>
      <c r="D15" s="110" t="s">
        <v>166</v>
      </c>
      <c r="E15" s="161">
        <v>44228</v>
      </c>
      <c r="F15" s="113">
        <v>43862</v>
      </c>
      <c r="G15" s="113">
        <v>43497</v>
      </c>
      <c r="H15" s="113">
        <v>43132</v>
      </c>
      <c r="I15" s="33">
        <v>42767</v>
      </c>
      <c r="J15" s="33">
        <v>42401</v>
      </c>
      <c r="K15" s="33">
        <v>42036</v>
      </c>
      <c r="L15" s="33">
        <v>41671</v>
      </c>
      <c r="M15" s="33">
        <v>41306</v>
      </c>
      <c r="N15" s="33">
        <v>40940</v>
      </c>
      <c r="O15" s="33">
        <v>40575</v>
      </c>
      <c r="P15" s="33">
        <v>40210</v>
      </c>
      <c r="Q15" s="33">
        <v>39845</v>
      </c>
      <c r="R15" s="33">
        <v>39479</v>
      </c>
      <c r="S15" s="34">
        <v>39114</v>
      </c>
    </row>
    <row r="16" spans="1:19" ht="12.75">
      <c r="A16" s="71" t="s">
        <v>7</v>
      </c>
      <c r="B16" s="146">
        <f aca="true" t="shared" si="2" ref="B16:B21">(E16-F16)/F16</f>
        <v>-0.29285714285714287</v>
      </c>
      <c r="C16" s="179">
        <f>E16-'[1]Czech Republic'!E16</f>
        <v>-465</v>
      </c>
      <c r="D16" s="98">
        <f>F16-'[1]Czech Republic'!F16</f>
        <v>-470</v>
      </c>
      <c r="E16" s="73">
        <v>1188</v>
      </c>
      <c r="F16" s="98">
        <v>1680</v>
      </c>
      <c r="G16" s="98">
        <v>1227</v>
      </c>
      <c r="H16" s="98">
        <v>995</v>
      </c>
      <c r="I16" s="98">
        <v>860</v>
      </c>
      <c r="J16" s="98">
        <v>1704</v>
      </c>
      <c r="K16" s="98">
        <v>283</v>
      </c>
      <c r="L16" s="98">
        <v>1324</v>
      </c>
      <c r="M16" s="98">
        <v>88</v>
      </c>
      <c r="N16" s="98">
        <v>200</v>
      </c>
      <c r="O16" s="98">
        <v>0</v>
      </c>
      <c r="P16" s="98">
        <v>0</v>
      </c>
      <c r="Q16" s="98">
        <v>0</v>
      </c>
      <c r="R16" s="98">
        <v>0</v>
      </c>
      <c r="S16" s="100">
        <v>0</v>
      </c>
    </row>
    <row r="17" spans="1:19" ht="12.75">
      <c r="A17" s="71" t="s">
        <v>41</v>
      </c>
      <c r="B17" s="146"/>
      <c r="C17" s="179">
        <f>E17-'[1]Czech Republic'!E17</f>
        <v>0</v>
      </c>
      <c r="D17" s="98">
        <f>F17-'[1]Czech Republic'!F17</f>
        <v>0</v>
      </c>
      <c r="E17" s="73">
        <v>0</v>
      </c>
      <c r="F17" s="98">
        <v>0</v>
      </c>
      <c r="G17" s="98">
        <v>6</v>
      </c>
      <c r="H17" s="98">
        <v>0</v>
      </c>
      <c r="I17" s="98">
        <v>0</v>
      </c>
      <c r="J17" s="98">
        <v>2</v>
      </c>
      <c r="K17" s="98">
        <v>0</v>
      </c>
      <c r="L17" s="98">
        <v>0</v>
      </c>
      <c r="M17" s="98">
        <v>0</v>
      </c>
      <c r="N17" s="98">
        <v>13</v>
      </c>
      <c r="O17" s="98">
        <v>12</v>
      </c>
      <c r="P17" s="98">
        <v>0</v>
      </c>
      <c r="Q17" s="98">
        <v>0</v>
      </c>
      <c r="R17" s="98">
        <v>0</v>
      </c>
      <c r="S17" s="100">
        <v>0</v>
      </c>
    </row>
    <row r="18" spans="1:19" ht="12.75">
      <c r="A18" s="71" t="s">
        <v>153</v>
      </c>
      <c r="B18" s="146">
        <f t="shared" si="2"/>
        <v>0.96</v>
      </c>
      <c r="C18" s="179">
        <f>E18-'[1]Czech Republic'!E18</f>
        <v>-210</v>
      </c>
      <c r="D18" s="98">
        <f>F18-'[1]Czech Republic'!F18</f>
        <v>-11</v>
      </c>
      <c r="E18" s="73">
        <v>196</v>
      </c>
      <c r="F18" s="98">
        <v>100</v>
      </c>
      <c r="G18" s="98">
        <v>79</v>
      </c>
      <c r="H18" s="98">
        <v>53</v>
      </c>
      <c r="I18" s="98">
        <v>67</v>
      </c>
      <c r="J18" s="98">
        <v>82</v>
      </c>
      <c r="K18" s="98">
        <v>22</v>
      </c>
      <c r="L18" s="98">
        <v>69</v>
      </c>
      <c r="M18" s="98">
        <v>24</v>
      </c>
      <c r="N18" s="98"/>
      <c r="O18" s="98"/>
      <c r="P18" s="98"/>
      <c r="Q18" s="98"/>
      <c r="R18" s="98"/>
      <c r="S18" s="100"/>
    </row>
    <row r="19" spans="1:19" ht="12.75">
      <c r="A19" s="71" t="s">
        <v>154</v>
      </c>
      <c r="B19" s="146">
        <f t="shared" si="2"/>
        <v>4.31</v>
      </c>
      <c r="C19" s="179">
        <f>E19-'[1]Czech Republic'!E19</f>
        <v>-302</v>
      </c>
      <c r="D19" s="98">
        <f>F19-'[1]Czech Republic'!F19</f>
        <v>-153</v>
      </c>
      <c r="E19" s="73">
        <v>531</v>
      </c>
      <c r="F19" s="98">
        <v>100</v>
      </c>
      <c r="G19" s="98">
        <v>147</v>
      </c>
      <c r="H19" s="98">
        <v>10</v>
      </c>
      <c r="I19" s="98">
        <v>0</v>
      </c>
      <c r="J19" s="98">
        <v>286</v>
      </c>
      <c r="K19" s="98">
        <v>55</v>
      </c>
      <c r="L19" s="98">
        <v>103</v>
      </c>
      <c r="M19" s="98">
        <v>200</v>
      </c>
      <c r="N19" s="98"/>
      <c r="O19" s="98"/>
      <c r="P19" s="98"/>
      <c r="Q19" s="98"/>
      <c r="R19" s="98"/>
      <c r="S19" s="100"/>
    </row>
    <row r="20" spans="1:20" ht="13.5" thickBot="1">
      <c r="A20" s="75" t="s">
        <v>6</v>
      </c>
      <c r="B20" s="146">
        <f t="shared" si="2"/>
        <v>0.78125</v>
      </c>
      <c r="C20" s="179">
        <f>E20-'[1]Czech Republic'!E20</f>
        <v>-78</v>
      </c>
      <c r="D20" s="98">
        <f>F20-'[1]Czech Republic'!F20</f>
        <v>-46</v>
      </c>
      <c r="E20" s="73">
        <v>57</v>
      </c>
      <c r="F20" s="98">
        <v>32</v>
      </c>
      <c r="G20" s="98">
        <v>80</v>
      </c>
      <c r="H20" s="98">
        <v>2</v>
      </c>
      <c r="I20" s="99">
        <v>16</v>
      </c>
      <c r="J20" s="99">
        <v>31</v>
      </c>
      <c r="K20" s="99">
        <v>31</v>
      </c>
      <c r="L20" s="99">
        <v>84</v>
      </c>
      <c r="M20" s="99">
        <v>14</v>
      </c>
      <c r="N20" s="99">
        <v>99</v>
      </c>
      <c r="O20" s="99">
        <v>68</v>
      </c>
      <c r="P20" s="99">
        <v>49</v>
      </c>
      <c r="Q20" s="99">
        <v>0</v>
      </c>
      <c r="R20" s="99">
        <v>14</v>
      </c>
      <c r="S20" s="101">
        <v>9</v>
      </c>
      <c r="T20" s="1"/>
    </row>
    <row r="21" spans="1:20" ht="13.5" thickBot="1">
      <c r="A21" s="79" t="s">
        <v>90</v>
      </c>
      <c r="B21" s="80">
        <f t="shared" si="2"/>
        <v>0.03138075313807531</v>
      </c>
      <c r="C21" s="121">
        <f>E21-'[1]Czech Republic'!E21</f>
        <v>-1055</v>
      </c>
      <c r="D21" s="118">
        <f>F21-'[1]Czech Republic'!F21</f>
        <v>-680</v>
      </c>
      <c r="E21" s="81">
        <f>SUM(E16:E20)</f>
        <v>1972</v>
      </c>
      <c r="F21" s="118">
        <v>1912</v>
      </c>
      <c r="G21" s="118">
        <v>1539</v>
      </c>
      <c r="H21" s="118">
        <f aca="true" t="shared" si="3" ref="H21:M21">SUM(H16:H20)</f>
        <v>1060</v>
      </c>
      <c r="I21" s="118">
        <f t="shared" si="3"/>
        <v>943</v>
      </c>
      <c r="J21" s="118">
        <f t="shared" si="3"/>
        <v>2105</v>
      </c>
      <c r="K21" s="118">
        <f t="shared" si="3"/>
        <v>391</v>
      </c>
      <c r="L21" s="118">
        <f t="shared" si="3"/>
        <v>1580</v>
      </c>
      <c r="M21" s="118">
        <f t="shared" si="3"/>
        <v>326</v>
      </c>
      <c r="N21" s="118">
        <f aca="true" t="shared" si="4" ref="N21:S21">SUM(N16:N20)</f>
        <v>312</v>
      </c>
      <c r="O21" s="118">
        <f t="shared" si="4"/>
        <v>80</v>
      </c>
      <c r="P21" s="118">
        <f t="shared" si="4"/>
        <v>49</v>
      </c>
      <c r="Q21" s="118">
        <f t="shared" si="4"/>
        <v>0</v>
      </c>
      <c r="R21" s="119">
        <f t="shared" si="4"/>
        <v>14</v>
      </c>
      <c r="S21" s="120">
        <f t="shared" si="4"/>
        <v>9</v>
      </c>
      <c r="T21" s="1"/>
    </row>
    <row r="22" spans="18:20" ht="18">
      <c r="R22" s="5"/>
      <c r="S22" s="1"/>
      <c r="T22" s="1"/>
    </row>
    <row r="26" spans="2:3" ht="12.75">
      <c r="B26" s="160"/>
      <c r="C26" s="160"/>
    </row>
    <row r="46" spans="2:3" ht="12.75">
      <c r="B46" s="160"/>
      <c r="C46" s="160"/>
    </row>
    <row r="66" spans="2:3" ht="12.75">
      <c r="B66" s="160"/>
      <c r="C66" s="160"/>
    </row>
    <row r="96" spans="2:3" ht="12.75">
      <c r="B96" s="160"/>
      <c r="C96" s="16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5" width="11.8515625" style="0" customWidth="1"/>
    <col min="6" max="7" width="11.8515625" style="9" customWidth="1"/>
    <col min="8" max="8" width="11.421875" style="9" customWidth="1"/>
    <col min="9" max="9" width="10.7109375" style="0" customWidth="1"/>
    <col min="10" max="17" width="10.140625" style="9" bestFit="1" customWidth="1"/>
    <col min="18" max="19" width="10.140625" style="0" bestFit="1" customWidth="1"/>
  </cols>
  <sheetData>
    <row r="1" spans="1:19" ht="13.5" thickBot="1">
      <c r="A1" s="53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33">
        <v>40210</v>
      </c>
      <c r="Q1" s="33">
        <v>39845</v>
      </c>
      <c r="R1" s="33">
        <v>39479</v>
      </c>
      <c r="S1" s="34">
        <v>39114</v>
      </c>
    </row>
    <row r="2" spans="1:19" ht="12.75">
      <c r="A2" s="54" t="s">
        <v>4</v>
      </c>
      <c r="B2" s="142"/>
      <c r="C2" s="175">
        <f>E2-'[1]Denmark'!E2</f>
        <v>0</v>
      </c>
      <c r="D2" s="93">
        <f>F2-'[1]Denmark'!F2</f>
        <v>0</v>
      </c>
      <c r="E2" s="57"/>
      <c r="F2" s="93"/>
      <c r="G2" s="93">
        <v>0</v>
      </c>
      <c r="H2" s="93">
        <v>0</v>
      </c>
      <c r="I2" s="93">
        <v>0</v>
      </c>
      <c r="J2" s="93">
        <v>1</v>
      </c>
      <c r="K2" s="93">
        <v>0</v>
      </c>
      <c r="L2" s="93">
        <v>0</v>
      </c>
      <c r="M2" s="93">
        <v>4</v>
      </c>
      <c r="N2" s="93">
        <v>0</v>
      </c>
      <c r="O2" s="93">
        <v>0</v>
      </c>
      <c r="P2" s="93">
        <v>0</v>
      </c>
      <c r="Q2" s="93">
        <v>2</v>
      </c>
      <c r="R2" s="51">
        <v>33</v>
      </c>
      <c r="S2" s="83"/>
    </row>
    <row r="3" spans="1:19" ht="12.75">
      <c r="A3" s="54" t="s">
        <v>96</v>
      </c>
      <c r="B3" s="142">
        <f>(E3-F3)/F3</f>
        <v>-1</v>
      </c>
      <c r="C3" s="175">
        <f>E3-'[1]Denmark'!E3</f>
        <v>-15</v>
      </c>
      <c r="D3" s="93">
        <f>F3-'[1]Denmark'!F3</f>
        <v>-42</v>
      </c>
      <c r="E3" s="57"/>
      <c r="F3" s="93">
        <v>328</v>
      </c>
      <c r="G3" s="93">
        <v>380</v>
      </c>
      <c r="H3" s="93">
        <v>0</v>
      </c>
      <c r="I3" s="93">
        <v>460</v>
      </c>
      <c r="J3" s="93">
        <v>433</v>
      </c>
      <c r="K3" s="93">
        <v>543</v>
      </c>
      <c r="L3" s="93">
        <v>524</v>
      </c>
      <c r="M3" s="93">
        <v>419</v>
      </c>
      <c r="N3" s="93">
        <v>475</v>
      </c>
      <c r="O3" s="93">
        <v>315</v>
      </c>
      <c r="P3" s="93">
        <v>243</v>
      </c>
      <c r="Q3" s="93">
        <v>72</v>
      </c>
      <c r="R3" s="51"/>
      <c r="S3" s="83"/>
    </row>
    <row r="4" spans="1:19" ht="12.75">
      <c r="A4" s="54" t="s">
        <v>5</v>
      </c>
      <c r="B4" s="142"/>
      <c r="C4" s="175">
        <f>E4-'[1]Denmark'!E4</f>
        <v>-45</v>
      </c>
      <c r="D4" s="93">
        <f>F4-'[1]Denmark'!F4</f>
        <v>0</v>
      </c>
      <c r="E4" s="57"/>
      <c r="F4" s="93">
        <v>0</v>
      </c>
      <c r="G4" s="93">
        <v>25</v>
      </c>
      <c r="H4" s="93">
        <v>0</v>
      </c>
      <c r="I4" s="93">
        <v>15</v>
      </c>
      <c r="J4" s="93">
        <v>2</v>
      </c>
      <c r="K4" s="93">
        <v>0</v>
      </c>
      <c r="L4" s="93">
        <v>15</v>
      </c>
      <c r="M4" s="93">
        <v>4</v>
      </c>
      <c r="N4" s="93">
        <v>5</v>
      </c>
      <c r="O4" s="93">
        <v>0</v>
      </c>
      <c r="P4" s="93">
        <v>0</v>
      </c>
      <c r="Q4" s="93">
        <v>6</v>
      </c>
      <c r="R4" s="51"/>
      <c r="S4" s="83"/>
    </row>
    <row r="5" spans="1:19" ht="12.75">
      <c r="A5" s="54" t="s">
        <v>2</v>
      </c>
      <c r="B5" s="142">
        <f aca="true" t="shared" si="0" ref="B5:B20">(E5-F5)/F5</f>
        <v>0.2956521739130435</v>
      </c>
      <c r="C5" s="175">
        <f>E5-'[1]Denmark'!E5</f>
        <v>-562</v>
      </c>
      <c r="D5" s="93">
        <f>F5-'[1]Denmark'!F5</f>
        <v>-1009</v>
      </c>
      <c r="E5" s="57">
        <v>1937</v>
      </c>
      <c r="F5" s="93">
        <v>1495</v>
      </c>
      <c r="G5" s="93">
        <v>3394</v>
      </c>
      <c r="H5" s="93">
        <v>1407</v>
      </c>
      <c r="I5" s="93">
        <v>2565</v>
      </c>
      <c r="J5" s="93">
        <v>2773</v>
      </c>
      <c r="K5" s="93">
        <v>2252</v>
      </c>
      <c r="L5" s="93">
        <v>1757</v>
      </c>
      <c r="M5" s="93">
        <v>1262</v>
      </c>
      <c r="N5" s="93">
        <v>1198</v>
      </c>
      <c r="O5" s="93">
        <v>890</v>
      </c>
      <c r="P5" s="93">
        <v>1806</v>
      </c>
      <c r="Q5" s="93">
        <v>1796</v>
      </c>
      <c r="R5" s="51">
        <v>856</v>
      </c>
      <c r="S5" s="83">
        <v>704</v>
      </c>
    </row>
    <row r="6" spans="1:19" ht="12.75">
      <c r="A6" s="54" t="s">
        <v>12</v>
      </c>
      <c r="B6" s="142">
        <f t="shared" si="0"/>
        <v>-1</v>
      </c>
      <c r="C6" s="175">
        <f>E6-'[1]Denmark'!E6</f>
        <v>0</v>
      </c>
      <c r="D6" s="93">
        <f>F6-'[1]Denmark'!F6</f>
        <v>0</v>
      </c>
      <c r="E6" s="57"/>
      <c r="F6" s="93">
        <v>5</v>
      </c>
      <c r="G6" s="93">
        <v>16</v>
      </c>
      <c r="H6" s="93">
        <v>0</v>
      </c>
      <c r="I6" s="93">
        <v>17</v>
      </c>
      <c r="J6" s="93">
        <v>8</v>
      </c>
      <c r="K6" s="93">
        <v>0</v>
      </c>
      <c r="L6" s="93">
        <v>29</v>
      </c>
      <c r="M6" s="93">
        <v>8</v>
      </c>
      <c r="N6" s="93"/>
      <c r="O6" s="93"/>
      <c r="P6" s="93">
        <v>0</v>
      </c>
      <c r="Q6" s="93">
        <v>0</v>
      </c>
      <c r="R6" s="51"/>
      <c r="S6" s="83"/>
    </row>
    <row r="7" spans="1:19" ht="12.75">
      <c r="A7" s="54" t="s">
        <v>9</v>
      </c>
      <c r="B7" s="142"/>
      <c r="C7" s="175">
        <f>E7-'[1]Denmark'!E7</f>
        <v>-156</v>
      </c>
      <c r="D7" s="93">
        <f>F7-'[1]Denmark'!F7</f>
        <v>-186</v>
      </c>
      <c r="E7" s="57"/>
      <c r="F7" s="93"/>
      <c r="G7" s="93">
        <v>524</v>
      </c>
      <c r="H7" s="93">
        <v>95</v>
      </c>
      <c r="I7" s="93">
        <v>459</v>
      </c>
      <c r="J7" s="93">
        <v>293</v>
      </c>
      <c r="K7" s="93">
        <v>80</v>
      </c>
      <c r="L7" s="93">
        <v>235</v>
      </c>
      <c r="M7" s="93"/>
      <c r="N7" s="93">
        <v>207</v>
      </c>
      <c r="O7" s="93">
        <v>157</v>
      </c>
      <c r="P7" s="93">
        <v>140</v>
      </c>
      <c r="Q7" s="93">
        <v>0</v>
      </c>
      <c r="R7" s="51"/>
      <c r="S7" s="83"/>
    </row>
    <row r="8" spans="1:19" ht="12.75">
      <c r="A8" s="54" t="s">
        <v>14</v>
      </c>
      <c r="B8" s="142">
        <f t="shared" si="0"/>
        <v>-0.23076923076923078</v>
      </c>
      <c r="C8" s="175">
        <f>E8-'[1]Denmark'!E8</f>
        <v>80</v>
      </c>
      <c r="D8" s="93">
        <f>F8-'[1]Denmark'!F8</f>
        <v>104</v>
      </c>
      <c r="E8" s="57">
        <v>80</v>
      </c>
      <c r="F8" s="93">
        <v>104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/>
      <c r="N8" s="93">
        <v>35</v>
      </c>
      <c r="O8" s="93">
        <v>48</v>
      </c>
      <c r="P8" s="93">
        <v>93</v>
      </c>
      <c r="Q8" s="93">
        <v>110</v>
      </c>
      <c r="R8" s="51">
        <v>196</v>
      </c>
      <c r="S8" s="83">
        <v>255</v>
      </c>
    </row>
    <row r="9" spans="1:19" ht="12.75">
      <c r="A9" s="54" t="s">
        <v>17</v>
      </c>
      <c r="B9" s="142">
        <f t="shared" si="0"/>
        <v>-1</v>
      </c>
      <c r="C9" s="175">
        <f>E9-'[1]Denmark'!E9</f>
        <v>-3</v>
      </c>
      <c r="D9" s="93">
        <f>F9-'[1]Denmark'!F9</f>
        <v>-2</v>
      </c>
      <c r="E9" s="57"/>
      <c r="F9" s="93">
        <v>4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51"/>
      <c r="S9" s="83"/>
    </row>
    <row r="10" spans="1:19" ht="12.75">
      <c r="A10" s="54" t="s">
        <v>15</v>
      </c>
      <c r="B10" s="142"/>
      <c r="C10" s="175">
        <f>E10-'[1]Denmark'!E10</f>
        <v>0</v>
      </c>
      <c r="D10" s="93">
        <f>F10-'[1]Denmark'!F10</f>
        <v>0</v>
      </c>
      <c r="E10" s="57"/>
      <c r="F10" s="93"/>
      <c r="G10" s="93">
        <v>125</v>
      </c>
      <c r="H10" s="93">
        <v>0</v>
      </c>
      <c r="I10" s="93">
        <v>0</v>
      </c>
      <c r="J10" s="93">
        <v>58</v>
      </c>
      <c r="K10" s="93">
        <v>28</v>
      </c>
      <c r="L10" s="93">
        <v>115</v>
      </c>
      <c r="M10" s="93"/>
      <c r="N10" s="93">
        <v>90</v>
      </c>
      <c r="O10" s="93">
        <v>9</v>
      </c>
      <c r="P10" s="93">
        <v>0</v>
      </c>
      <c r="Q10" s="93">
        <v>26</v>
      </c>
      <c r="R10" s="51"/>
      <c r="S10" s="83"/>
    </row>
    <row r="11" spans="1:20" ht="12.75">
      <c r="A11" s="54" t="s">
        <v>10</v>
      </c>
      <c r="B11" s="142">
        <f t="shared" si="0"/>
        <v>-1</v>
      </c>
      <c r="C11" s="175">
        <f>E11-'[1]Denmark'!E11</f>
        <v>0</v>
      </c>
      <c r="D11" s="93">
        <f>F11-'[1]Denmark'!F11</f>
        <v>0</v>
      </c>
      <c r="E11" s="57"/>
      <c r="F11" s="93">
        <v>15</v>
      </c>
      <c r="G11" s="93">
        <v>14</v>
      </c>
      <c r="H11" s="93">
        <v>0</v>
      </c>
      <c r="I11" s="93">
        <v>0</v>
      </c>
      <c r="J11" s="93">
        <v>0</v>
      </c>
      <c r="K11" s="93">
        <v>0</v>
      </c>
      <c r="L11" s="93">
        <v>21</v>
      </c>
      <c r="M11" s="93"/>
      <c r="N11" s="93">
        <v>11</v>
      </c>
      <c r="O11" s="93">
        <v>16</v>
      </c>
      <c r="P11" s="93">
        <v>34</v>
      </c>
      <c r="Q11" s="93">
        <v>27</v>
      </c>
      <c r="R11" s="51"/>
      <c r="S11" s="83"/>
      <c r="T11" s="1"/>
    </row>
    <row r="12" spans="1:19" ht="12.75">
      <c r="A12" s="54" t="s">
        <v>98</v>
      </c>
      <c r="B12" s="142"/>
      <c r="C12" s="175">
        <f>E12-'[1]Denmark'!E12</f>
        <v>0</v>
      </c>
      <c r="D12" s="93">
        <f>F12-'[1]Denmark'!F12</f>
        <v>0</v>
      </c>
      <c r="E12" s="57"/>
      <c r="F12" s="93">
        <v>0</v>
      </c>
      <c r="G12" s="93">
        <v>168</v>
      </c>
      <c r="H12" s="93">
        <v>0</v>
      </c>
      <c r="I12" s="93">
        <v>898</v>
      </c>
      <c r="J12" s="93">
        <v>622</v>
      </c>
      <c r="K12" s="93">
        <v>0</v>
      </c>
      <c r="L12" s="93">
        <v>148</v>
      </c>
      <c r="M12" s="93"/>
      <c r="N12" s="93">
        <v>0</v>
      </c>
      <c r="O12" s="93">
        <v>14</v>
      </c>
      <c r="P12" s="93">
        <v>0</v>
      </c>
      <c r="Q12" s="93">
        <v>1</v>
      </c>
      <c r="R12" s="51"/>
      <c r="S12" s="83"/>
    </row>
    <row r="13" spans="1:20" ht="12.75">
      <c r="A13" s="54" t="s">
        <v>26</v>
      </c>
      <c r="B13" s="142"/>
      <c r="C13" s="175">
        <f>E13-'[1]Denmark'!E13</f>
        <v>0</v>
      </c>
      <c r="D13" s="93">
        <f>F13-'[1]Denmark'!F13</f>
        <v>0</v>
      </c>
      <c r="E13" s="57">
        <v>28</v>
      </c>
      <c r="F13" s="93"/>
      <c r="G13" s="93">
        <v>51</v>
      </c>
      <c r="H13" s="93">
        <v>20</v>
      </c>
      <c r="I13" s="93">
        <v>27</v>
      </c>
      <c r="J13" s="93">
        <v>22</v>
      </c>
      <c r="K13" s="93">
        <v>45</v>
      </c>
      <c r="L13" s="93">
        <v>0</v>
      </c>
      <c r="M13" s="93">
        <v>35</v>
      </c>
      <c r="N13" s="93"/>
      <c r="O13" s="93"/>
      <c r="P13" s="93">
        <v>0</v>
      </c>
      <c r="Q13" s="93">
        <v>8</v>
      </c>
      <c r="R13" s="51">
        <v>2537</v>
      </c>
      <c r="S13" s="83">
        <v>1713</v>
      </c>
      <c r="T13" s="1"/>
    </row>
    <row r="14" spans="1:19" ht="12.75">
      <c r="A14" s="54" t="s">
        <v>25</v>
      </c>
      <c r="B14" s="142">
        <f t="shared" si="0"/>
        <v>0.5494736842105263</v>
      </c>
      <c r="C14" s="175">
        <f>E14-'[1]Denmark'!E14</f>
        <v>-212</v>
      </c>
      <c r="D14" s="93">
        <f>F14-'[1]Denmark'!F14</f>
        <v>-172</v>
      </c>
      <c r="E14" s="57">
        <v>1472</v>
      </c>
      <c r="F14" s="93">
        <v>950</v>
      </c>
      <c r="G14" s="93">
        <v>2496</v>
      </c>
      <c r="H14" s="93">
        <v>1258</v>
      </c>
      <c r="I14" s="93">
        <v>2641</v>
      </c>
      <c r="J14" s="93">
        <v>2109</v>
      </c>
      <c r="K14" s="93">
        <v>2160</v>
      </c>
      <c r="L14" s="93">
        <v>1863</v>
      </c>
      <c r="M14" s="93">
        <v>1293</v>
      </c>
      <c r="N14" s="93">
        <v>1995</v>
      </c>
      <c r="O14" s="93">
        <v>1891</v>
      </c>
      <c r="P14" s="93">
        <v>2214</v>
      </c>
      <c r="Q14" s="93">
        <v>3116</v>
      </c>
      <c r="R14" s="51"/>
      <c r="S14" s="83"/>
    </row>
    <row r="15" spans="1:19" ht="12.75">
      <c r="A15" s="54" t="s">
        <v>97</v>
      </c>
      <c r="B15" s="142"/>
      <c r="C15" s="175">
        <f>E15-'[1]Denmark'!E15</f>
        <v>0</v>
      </c>
      <c r="D15" s="93">
        <f>F15-'[1]Denmark'!F15</f>
        <v>0</v>
      </c>
      <c r="E15" s="57"/>
      <c r="F15" s="93"/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/>
      <c r="M15" s="93"/>
      <c r="N15" s="93"/>
      <c r="O15" s="93"/>
      <c r="P15" s="93">
        <v>0</v>
      </c>
      <c r="Q15" s="93">
        <v>0</v>
      </c>
      <c r="R15" s="51"/>
      <c r="S15" s="83"/>
    </row>
    <row r="16" spans="1:19" ht="12.75">
      <c r="A16" s="54" t="s">
        <v>13</v>
      </c>
      <c r="B16" s="142"/>
      <c r="C16" s="175">
        <f>E16-'[1]Denmark'!E16</f>
        <v>0</v>
      </c>
      <c r="D16" s="93">
        <f>F16-'[1]Denmark'!F16</f>
        <v>0</v>
      </c>
      <c r="E16" s="57"/>
      <c r="F16" s="93"/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/>
      <c r="M16" s="93"/>
      <c r="N16" s="93"/>
      <c r="O16" s="93"/>
      <c r="P16" s="93">
        <v>34</v>
      </c>
      <c r="Q16" s="93">
        <v>34</v>
      </c>
      <c r="R16" s="51"/>
      <c r="S16" s="83"/>
    </row>
    <row r="17" spans="1:19" ht="12.75">
      <c r="A17" s="54" t="s">
        <v>34</v>
      </c>
      <c r="B17" s="142"/>
      <c r="C17" s="175">
        <f>E17-'[1]Denmark'!E17</f>
        <v>0</v>
      </c>
      <c r="D17" s="93">
        <f>F17-'[1]Denmark'!F17</f>
        <v>0</v>
      </c>
      <c r="E17" s="57"/>
      <c r="F17" s="93">
        <v>0</v>
      </c>
      <c r="G17" s="93">
        <v>14</v>
      </c>
      <c r="H17" s="93">
        <v>0</v>
      </c>
      <c r="I17" s="93">
        <v>12</v>
      </c>
      <c r="J17" s="93">
        <v>0</v>
      </c>
      <c r="K17" s="93">
        <v>0</v>
      </c>
      <c r="L17" s="93">
        <v>5</v>
      </c>
      <c r="M17" s="93"/>
      <c r="N17" s="93"/>
      <c r="O17" s="93"/>
      <c r="P17" s="93"/>
      <c r="Q17" s="93"/>
      <c r="R17" s="51"/>
      <c r="S17" s="83"/>
    </row>
    <row r="18" spans="1:19" ht="12.75">
      <c r="A18" s="54" t="s">
        <v>85</v>
      </c>
      <c r="B18" s="142">
        <f t="shared" si="0"/>
        <v>-0.1644479248238058</v>
      </c>
      <c r="C18" s="175">
        <f>E18-'[1]Denmark'!E18</f>
        <v>-514</v>
      </c>
      <c r="D18" s="93">
        <f>F18-'[1]Denmark'!F18</f>
        <v>-246</v>
      </c>
      <c r="E18" s="57">
        <v>1067</v>
      </c>
      <c r="F18" s="93">
        <v>1277</v>
      </c>
      <c r="G18" s="93">
        <v>2037</v>
      </c>
      <c r="H18" s="93">
        <v>881</v>
      </c>
      <c r="I18" s="93">
        <v>1134</v>
      </c>
      <c r="J18" s="93">
        <v>1113</v>
      </c>
      <c r="K18" s="93">
        <v>904</v>
      </c>
      <c r="L18" s="93">
        <v>790</v>
      </c>
      <c r="M18" s="93">
        <v>870</v>
      </c>
      <c r="N18" s="93">
        <v>328</v>
      </c>
      <c r="O18" s="93">
        <v>352</v>
      </c>
      <c r="P18" s="93">
        <v>390</v>
      </c>
      <c r="Q18" s="93">
        <v>145</v>
      </c>
      <c r="R18" s="51"/>
      <c r="S18" s="83"/>
    </row>
    <row r="19" spans="1:19" ht="13.5" thickBot="1">
      <c r="A19" s="55" t="s">
        <v>6</v>
      </c>
      <c r="B19" s="153">
        <f t="shared" si="0"/>
        <v>-0.27884615384615385</v>
      </c>
      <c r="C19" s="180">
        <f>E19-'[1]Denmark'!E19</f>
        <v>-439</v>
      </c>
      <c r="D19" s="93">
        <f>F19-'[1]Denmark'!F19</f>
        <v>-363</v>
      </c>
      <c r="E19" s="57">
        <f>59+166</f>
        <v>225</v>
      </c>
      <c r="F19" s="93">
        <f>77+235</f>
        <v>312</v>
      </c>
      <c r="G19" s="93">
        <v>483</v>
      </c>
      <c r="H19" s="93">
        <v>98</v>
      </c>
      <c r="I19" s="94">
        <v>139</v>
      </c>
      <c r="J19" s="94">
        <v>57</v>
      </c>
      <c r="K19" s="94">
        <v>81</v>
      </c>
      <c r="L19" s="94">
        <v>132</v>
      </c>
      <c r="M19" s="94">
        <v>145</v>
      </c>
      <c r="N19" s="94">
        <v>92</v>
      </c>
      <c r="O19" s="94">
        <v>90</v>
      </c>
      <c r="P19" s="94">
        <v>452</v>
      </c>
      <c r="Q19" s="94">
        <v>219</v>
      </c>
      <c r="R19" s="50">
        <v>270</v>
      </c>
      <c r="S19" s="84">
        <v>216</v>
      </c>
    </row>
    <row r="20" spans="1:19" ht="13.5" thickBot="1">
      <c r="A20" s="56" t="s">
        <v>90</v>
      </c>
      <c r="B20" s="154">
        <f t="shared" si="0"/>
        <v>0.07104677060133631</v>
      </c>
      <c r="C20" s="178">
        <f>E20-'[1]Denmark'!E20</f>
        <v>-1866</v>
      </c>
      <c r="D20" s="125">
        <f>F20-'[1]Denmark'!F20</f>
        <v>-1916</v>
      </c>
      <c r="E20" s="59">
        <f>SUM(E2:E19)</f>
        <v>4809</v>
      </c>
      <c r="F20" s="125">
        <f>SUM(F2:F19)</f>
        <v>4490</v>
      </c>
      <c r="G20" s="125">
        <f>SUM(G2:G19)</f>
        <v>9727</v>
      </c>
      <c r="H20" s="125">
        <f aca="true" t="shared" si="1" ref="H20:M20">SUM(H2:H19)</f>
        <v>3759</v>
      </c>
      <c r="I20" s="125">
        <f t="shared" si="1"/>
        <v>8367</v>
      </c>
      <c r="J20" s="125">
        <f t="shared" si="1"/>
        <v>7491</v>
      </c>
      <c r="K20" s="125">
        <f t="shared" si="1"/>
        <v>6093</v>
      </c>
      <c r="L20" s="125">
        <f t="shared" si="1"/>
        <v>5634</v>
      </c>
      <c r="M20" s="125">
        <f t="shared" si="1"/>
        <v>4040</v>
      </c>
      <c r="N20" s="125">
        <f aca="true" t="shared" si="2" ref="N20:S20">SUM(N2:N19)</f>
        <v>4436</v>
      </c>
      <c r="O20" s="125">
        <f t="shared" si="2"/>
        <v>3782</v>
      </c>
      <c r="P20" s="125">
        <f t="shared" si="2"/>
        <v>5406</v>
      </c>
      <c r="Q20" s="125">
        <f t="shared" si="2"/>
        <v>5562</v>
      </c>
      <c r="R20" s="60">
        <f t="shared" si="2"/>
        <v>3892</v>
      </c>
      <c r="S20" s="43">
        <f t="shared" si="2"/>
        <v>2888</v>
      </c>
    </row>
    <row r="21" spans="2:9" ht="12.75">
      <c r="B21" s="144"/>
      <c r="C21" s="144"/>
      <c r="D21" s="9"/>
      <c r="E21" s="9"/>
      <c r="H21" s="8"/>
      <c r="I21" s="9"/>
    </row>
    <row r="22" spans="2:19" ht="13.5" thickBot="1">
      <c r="B22" s="145"/>
      <c r="C22" s="14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3"/>
      <c r="S22" s="3"/>
    </row>
    <row r="23" spans="1:19" s="70" customFormat="1" ht="13.5" thickBot="1">
      <c r="A23" s="68" t="s">
        <v>120</v>
      </c>
      <c r="B23" s="32" t="s">
        <v>172</v>
      </c>
      <c r="C23" s="63" t="s">
        <v>173</v>
      </c>
      <c r="D23" s="110" t="s">
        <v>166</v>
      </c>
      <c r="E23" s="161">
        <v>44228</v>
      </c>
      <c r="F23" s="113">
        <v>43862</v>
      </c>
      <c r="G23" s="113">
        <v>43497</v>
      </c>
      <c r="H23" s="113">
        <v>43132</v>
      </c>
      <c r="I23" s="33">
        <v>42767</v>
      </c>
      <c r="J23" s="33">
        <v>42401</v>
      </c>
      <c r="K23" s="33">
        <v>42036</v>
      </c>
      <c r="L23" s="33">
        <v>41671</v>
      </c>
      <c r="M23" s="33">
        <v>41306</v>
      </c>
      <c r="N23" s="33">
        <v>40940</v>
      </c>
      <c r="O23" s="33">
        <v>40575</v>
      </c>
      <c r="P23" s="33">
        <v>40210</v>
      </c>
      <c r="Q23" s="33">
        <v>39845</v>
      </c>
      <c r="R23" s="33">
        <v>39479</v>
      </c>
      <c r="S23" s="34">
        <v>39114</v>
      </c>
    </row>
    <row r="24" spans="1:19" s="67" customFormat="1" ht="12.75">
      <c r="A24" s="71" t="s">
        <v>7</v>
      </c>
      <c r="B24" s="146">
        <f>(E24-F24)/F24</f>
        <v>4.4</v>
      </c>
      <c r="C24" s="179">
        <f>E24-'[1]Denmark'!E24</f>
        <v>-48</v>
      </c>
      <c r="D24" s="98">
        <f>F24-'[1]Denmark'!F24</f>
        <v>-50</v>
      </c>
      <c r="E24" s="73">
        <v>54</v>
      </c>
      <c r="F24" s="98">
        <v>10</v>
      </c>
      <c r="G24" s="98">
        <v>209</v>
      </c>
      <c r="H24" s="98">
        <v>0</v>
      </c>
      <c r="I24" s="98">
        <v>0</v>
      </c>
      <c r="J24" s="98">
        <v>112</v>
      </c>
      <c r="K24" s="98">
        <v>0</v>
      </c>
      <c r="L24" s="98">
        <v>91</v>
      </c>
      <c r="M24" s="98"/>
      <c r="N24" s="98">
        <v>106</v>
      </c>
      <c r="O24" s="98">
        <v>0</v>
      </c>
      <c r="P24" s="98">
        <v>0</v>
      </c>
      <c r="Q24" s="98">
        <f>SUM(T24:U24)</f>
        <v>0</v>
      </c>
      <c r="R24" s="74">
        <f>B39</f>
        <v>0</v>
      </c>
      <c r="S24" s="86">
        <f>B61</f>
        <v>0</v>
      </c>
    </row>
    <row r="25" spans="1:19" s="67" customFormat="1" ht="12.75">
      <c r="A25" s="71" t="s">
        <v>148</v>
      </c>
      <c r="B25" s="146"/>
      <c r="C25" s="179">
        <f>E25-'[1]Denmark'!E25</f>
        <v>0</v>
      </c>
      <c r="D25" s="98">
        <f>F25-'[1]Denmark'!F25</f>
        <v>0</v>
      </c>
      <c r="E25" s="73"/>
      <c r="F25" s="98"/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/>
      <c r="M25" s="98"/>
      <c r="N25" s="98">
        <v>0</v>
      </c>
      <c r="O25" s="98"/>
      <c r="P25" s="98"/>
      <c r="Q25" s="98"/>
      <c r="R25" s="74"/>
      <c r="S25" s="86"/>
    </row>
    <row r="26" spans="1:19" s="67" customFormat="1" ht="13.5" thickBot="1">
      <c r="A26" s="75" t="s">
        <v>6</v>
      </c>
      <c r="B26" s="147">
        <f>(E26-F26)/F26</f>
        <v>-0.4230769230769231</v>
      </c>
      <c r="C26" s="179">
        <f>E26-'[1]Denmark'!E26</f>
        <v>0</v>
      </c>
      <c r="D26" s="98">
        <f>F26-'[1]Denmark'!F26</f>
        <v>-45</v>
      </c>
      <c r="E26" s="73">
        <v>15</v>
      </c>
      <c r="F26" s="98">
        <v>26</v>
      </c>
      <c r="G26" s="98">
        <v>93</v>
      </c>
      <c r="H26" s="98">
        <v>0</v>
      </c>
      <c r="I26" s="99">
        <v>37</v>
      </c>
      <c r="J26" s="99">
        <v>72</v>
      </c>
      <c r="K26" s="99">
        <v>10</v>
      </c>
      <c r="L26" s="99">
        <v>83</v>
      </c>
      <c r="M26" s="99"/>
      <c r="N26" s="99">
        <v>12</v>
      </c>
      <c r="O26" s="99">
        <v>0</v>
      </c>
      <c r="P26" s="99">
        <v>0</v>
      </c>
      <c r="Q26" s="99">
        <f>SUM(T26:U26)</f>
        <v>0</v>
      </c>
      <c r="R26" s="78">
        <v>0</v>
      </c>
      <c r="S26" s="87">
        <f>B70</f>
        <v>0</v>
      </c>
    </row>
    <row r="27" spans="1:19" s="67" customFormat="1" ht="13.5" thickBot="1">
      <c r="A27" s="79" t="s">
        <v>90</v>
      </c>
      <c r="B27" s="80">
        <f>(E27-F27)/F27</f>
        <v>0.9166666666666666</v>
      </c>
      <c r="C27" s="121">
        <f>E27-'[1]Denmark'!E27</f>
        <v>-48</v>
      </c>
      <c r="D27" s="118">
        <f>F27-'[1]Denmark'!F27</f>
        <v>-95</v>
      </c>
      <c r="E27" s="81">
        <f>SUM(E24:E26)</f>
        <v>69</v>
      </c>
      <c r="F27" s="118">
        <f>SUM(F24:F26)</f>
        <v>36</v>
      </c>
      <c r="G27" s="118">
        <f>SUM(G24:G26)</f>
        <v>302</v>
      </c>
      <c r="H27" s="118">
        <v>0</v>
      </c>
      <c r="I27" s="118">
        <f>SUM(I24:I26)</f>
        <v>37</v>
      </c>
      <c r="J27" s="118">
        <f>SUM(J24:J26)</f>
        <v>184</v>
      </c>
      <c r="K27" s="118">
        <f>SUM(K24:K26)</f>
        <v>10</v>
      </c>
      <c r="L27" s="118">
        <f>SUM(L24:L26)</f>
        <v>174</v>
      </c>
      <c r="M27" s="118"/>
      <c r="N27" s="118">
        <f>SUM(N24:N26)</f>
        <v>118</v>
      </c>
      <c r="O27" s="118">
        <v>0</v>
      </c>
      <c r="P27" s="118">
        <v>0</v>
      </c>
      <c r="Q27" s="118">
        <f>SUM(Q24:Q26)</f>
        <v>0</v>
      </c>
      <c r="R27" s="82">
        <f>SUM(R24:R26)</f>
        <v>0</v>
      </c>
      <c r="S27" s="88">
        <f>SUM(S24:S26)</f>
        <v>0</v>
      </c>
    </row>
    <row r="28" spans="6:17" s="67" customFormat="1" ht="12.75">
      <c r="F28" s="127"/>
      <c r="G28" s="127"/>
      <c r="H28" s="127"/>
      <c r="J28" s="127"/>
      <c r="K28" s="127"/>
      <c r="L28" s="127"/>
      <c r="M28" s="127"/>
      <c r="N28" s="127"/>
      <c r="O28" s="127"/>
      <c r="P28" s="127"/>
      <c r="Q28" s="127"/>
    </row>
    <row r="29" spans="1:17" s="67" customFormat="1" ht="12.75">
      <c r="A29" s="70"/>
      <c r="F29" s="127"/>
      <c r="G29" s="127"/>
      <c r="H29" s="127"/>
      <c r="J29" s="127"/>
      <c r="K29" s="127"/>
      <c r="L29" s="127"/>
      <c r="M29" s="127"/>
      <c r="N29" s="127"/>
      <c r="O29" s="127"/>
      <c r="P29" s="127"/>
      <c r="Q29" s="127"/>
    </row>
    <row r="30" spans="6:17" s="67" customFormat="1" ht="12.75">
      <c r="F30" s="127"/>
      <c r="G30" s="127"/>
      <c r="H30" s="127"/>
      <c r="J30" s="127"/>
      <c r="K30" s="127"/>
      <c r="L30" s="127"/>
      <c r="M30" s="127"/>
      <c r="N30" s="127"/>
      <c r="O30" s="127"/>
      <c r="P30" s="127"/>
      <c r="Q30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90" zoomScaleNormal="90" zoomScalePageLayoutView="0" workbookViewId="0" topLeftCell="A1">
      <selection activeCell="C31" sqref="C3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421875" style="0" bestFit="1" customWidth="1"/>
    <col min="4" max="5" width="11.28125" style="0" customWidth="1"/>
    <col min="6" max="7" width="11.28125" style="9" customWidth="1"/>
    <col min="8" max="8" width="12.28125" style="9" customWidth="1"/>
    <col min="9" max="9" width="10.7109375" style="0" customWidth="1"/>
    <col min="10" max="16" width="10.7109375" style="9" customWidth="1"/>
  </cols>
  <sheetData>
    <row r="1" spans="1:16" ht="13.5" thickBot="1">
      <c r="A1" s="53" t="s">
        <v>23</v>
      </c>
      <c r="B1" s="32" t="s">
        <v>172</v>
      </c>
      <c r="C1" s="63" t="s">
        <v>173</v>
      </c>
      <c r="D1" s="110" t="s">
        <v>166</v>
      </c>
      <c r="E1" s="161">
        <v>44228</v>
      </c>
      <c r="F1" s="113">
        <v>43862</v>
      </c>
      <c r="G1" s="113">
        <v>43497</v>
      </c>
      <c r="H1" s="113">
        <v>43132</v>
      </c>
      <c r="I1" s="33">
        <v>42767</v>
      </c>
      <c r="J1" s="33">
        <v>42401</v>
      </c>
      <c r="K1" s="33">
        <v>42036</v>
      </c>
      <c r="L1" s="33">
        <v>41671</v>
      </c>
      <c r="M1" s="33">
        <v>41306</v>
      </c>
      <c r="N1" s="33">
        <v>40940</v>
      </c>
      <c r="O1" s="33">
        <v>40575</v>
      </c>
      <c r="P1" s="49">
        <v>40210</v>
      </c>
    </row>
    <row r="2" spans="1:16" ht="12.75">
      <c r="A2" s="54" t="s">
        <v>119</v>
      </c>
      <c r="B2" s="61">
        <f>(E2-F2)/F2</f>
        <v>0.17397504456327986</v>
      </c>
      <c r="C2" s="104">
        <f>E2-'[1]France'!E2</f>
        <v>-576</v>
      </c>
      <c r="D2" s="93">
        <f>F2-'[1]France'!F2</f>
        <v>-1268</v>
      </c>
      <c r="E2" s="57">
        <v>6586</v>
      </c>
      <c r="F2" s="93">
        <v>5610</v>
      </c>
      <c r="G2" s="93">
        <v>4719</v>
      </c>
      <c r="H2" s="93">
        <v>6442</v>
      </c>
      <c r="I2" s="141">
        <v>9604</v>
      </c>
      <c r="J2" s="141">
        <v>7435</v>
      </c>
      <c r="K2" s="141">
        <v>12894</v>
      </c>
      <c r="L2" s="141">
        <v>16593</v>
      </c>
      <c r="M2" s="141">
        <v>8936</v>
      </c>
      <c r="N2" s="141">
        <v>14027</v>
      </c>
      <c r="O2" s="141">
        <v>15392</v>
      </c>
      <c r="P2" s="137">
        <v>14047</v>
      </c>
    </row>
    <row r="3" spans="1:16" ht="12.75">
      <c r="A3" s="54" t="s">
        <v>124</v>
      </c>
      <c r="B3" s="61">
        <f aca="true" t="shared" si="0" ref="B3:B26">(E3-F3)/F3</f>
        <v>-0.1573594674556213</v>
      </c>
      <c r="C3" s="104">
        <f>E3-'[1]France'!E3</f>
        <v>-3779</v>
      </c>
      <c r="D3" s="93">
        <f>F3-'[1]France'!F3</f>
        <v>-3989</v>
      </c>
      <c r="E3" s="57">
        <v>18228</v>
      </c>
      <c r="F3" s="93">
        <v>21632</v>
      </c>
      <c r="G3" s="93">
        <v>18908</v>
      </c>
      <c r="H3" s="93">
        <v>16147</v>
      </c>
      <c r="I3" s="141">
        <v>18227</v>
      </c>
      <c r="J3" s="141">
        <v>18668</v>
      </c>
      <c r="K3" s="141">
        <v>15276</v>
      </c>
      <c r="L3" s="141">
        <v>23207</v>
      </c>
      <c r="M3" s="141">
        <v>13337</v>
      </c>
      <c r="N3" s="141">
        <v>16665</v>
      </c>
      <c r="O3" s="141">
        <v>15734</v>
      </c>
      <c r="P3" s="137">
        <v>15543</v>
      </c>
    </row>
    <row r="4" spans="1:16" ht="12.75">
      <c r="A4" s="54" t="s">
        <v>4</v>
      </c>
      <c r="B4" s="61">
        <f t="shared" si="0"/>
        <v>-0.33215234720992026</v>
      </c>
      <c r="C4" s="104">
        <f>E4-'[1]France'!E4</f>
        <v>-909</v>
      </c>
      <c r="D4" s="93">
        <f>F4-'[1]France'!F4</f>
        <v>-588</v>
      </c>
      <c r="E4" s="57">
        <v>754</v>
      </c>
      <c r="F4" s="93">
        <v>1129</v>
      </c>
      <c r="G4" s="93">
        <v>2324</v>
      </c>
      <c r="H4" s="93">
        <v>407</v>
      </c>
      <c r="I4" s="93">
        <v>2001</v>
      </c>
      <c r="J4" s="93">
        <v>2048</v>
      </c>
      <c r="K4" s="93">
        <v>2108</v>
      </c>
      <c r="L4" s="93">
        <v>614</v>
      </c>
      <c r="M4" s="93">
        <v>129</v>
      </c>
      <c r="N4" s="93">
        <v>3491</v>
      </c>
      <c r="O4" s="93">
        <v>2878</v>
      </c>
      <c r="P4" s="95">
        <v>4666</v>
      </c>
    </row>
    <row r="5" spans="1:16" ht="12.75">
      <c r="A5" s="54" t="s">
        <v>11</v>
      </c>
      <c r="B5" s="61">
        <f t="shared" si="0"/>
        <v>-0.3689231410122891</v>
      </c>
      <c r="C5" s="104">
        <f>E5-'[1]France'!E5</f>
        <v>-2494</v>
      </c>
      <c r="D5" s="93">
        <f>F5-'[1]France'!F5</f>
        <v>-5228</v>
      </c>
      <c r="E5" s="57">
        <v>15149</v>
      </c>
      <c r="F5" s="93">
        <v>24005</v>
      </c>
      <c r="G5" s="93">
        <v>18555</v>
      </c>
      <c r="H5" s="93">
        <v>18746</v>
      </c>
      <c r="I5" s="93">
        <v>21986</v>
      </c>
      <c r="J5" s="93">
        <v>25659</v>
      </c>
      <c r="K5" s="93">
        <v>18484</v>
      </c>
      <c r="L5" s="93">
        <v>30004</v>
      </c>
      <c r="M5" s="93">
        <v>13014</v>
      </c>
      <c r="N5" s="93">
        <v>37216</v>
      </c>
      <c r="O5" s="93">
        <v>33947</v>
      </c>
      <c r="P5" s="95">
        <v>48135</v>
      </c>
    </row>
    <row r="6" spans="1:16" ht="12.75">
      <c r="A6" s="54" t="s">
        <v>28</v>
      </c>
      <c r="B6" s="61"/>
      <c r="C6" s="104">
        <f>E6-'[1]France'!E6</f>
        <v>0</v>
      </c>
      <c r="D6" s="93">
        <f>F6-'[1]France'!F6</f>
        <v>0</v>
      </c>
      <c r="E6" s="57"/>
      <c r="F6" s="93"/>
      <c r="G6" s="93"/>
      <c r="H6" s="93"/>
      <c r="I6" s="93"/>
      <c r="J6" s="93"/>
      <c r="K6" s="93"/>
      <c r="L6" s="93"/>
      <c r="M6" s="93"/>
      <c r="N6" s="93">
        <v>727</v>
      </c>
      <c r="O6" s="93">
        <v>2023</v>
      </c>
      <c r="P6" s="95">
        <v>2642</v>
      </c>
    </row>
    <row r="7" spans="1:16" ht="12.75">
      <c r="A7" s="54" t="s">
        <v>143</v>
      </c>
      <c r="B7" s="61">
        <f t="shared" si="0"/>
        <v>-0.1795688388045076</v>
      </c>
      <c r="C7" s="104">
        <f>E7-'[1]France'!E7</f>
        <v>304</v>
      </c>
      <c r="D7" s="93">
        <f>F7-'[1]France'!F7</f>
        <v>-1045</v>
      </c>
      <c r="E7" s="57">
        <v>3349</v>
      </c>
      <c r="F7" s="93">
        <v>4082</v>
      </c>
      <c r="G7" s="93">
        <v>4330</v>
      </c>
      <c r="H7" s="93">
        <v>3531</v>
      </c>
      <c r="I7" s="93">
        <v>3872</v>
      </c>
      <c r="J7" s="93">
        <v>3073</v>
      </c>
      <c r="K7" s="93">
        <v>2036</v>
      </c>
      <c r="L7" s="93">
        <v>1603</v>
      </c>
      <c r="M7" s="93">
        <v>1082</v>
      </c>
      <c r="N7" s="93">
        <v>1781</v>
      </c>
      <c r="O7" s="93">
        <v>1938</v>
      </c>
      <c r="P7" s="95">
        <v>234</v>
      </c>
    </row>
    <row r="8" spans="1:16" ht="12.75">
      <c r="A8" s="54" t="s">
        <v>60</v>
      </c>
      <c r="B8" s="61">
        <f t="shared" si="0"/>
        <v>0.0502363202260878</v>
      </c>
      <c r="C8" s="104">
        <f>E8-'[1]France'!E8</f>
        <v>-21100</v>
      </c>
      <c r="D8" s="93">
        <f>F8-'[1]France'!F8</f>
        <v>-21571</v>
      </c>
      <c r="E8" s="57">
        <v>86216</v>
      </c>
      <c r="F8" s="93">
        <v>82092</v>
      </c>
      <c r="G8" s="93">
        <v>82358</v>
      </c>
      <c r="H8" s="93">
        <v>65762</v>
      </c>
      <c r="I8" s="93">
        <v>70610</v>
      </c>
      <c r="J8" s="93">
        <v>68624</v>
      </c>
      <c r="K8" s="93">
        <v>62793</v>
      </c>
      <c r="L8" s="93">
        <v>60835</v>
      </c>
      <c r="M8" s="93">
        <v>40131</v>
      </c>
      <c r="N8" s="93">
        <v>48728</v>
      </c>
      <c r="O8" s="93">
        <v>44378</v>
      </c>
      <c r="P8" s="95">
        <v>42243</v>
      </c>
    </row>
    <row r="9" spans="1:16" ht="12.75">
      <c r="A9" s="54" t="s">
        <v>2</v>
      </c>
      <c r="B9" s="61">
        <f t="shared" si="0"/>
        <v>-0.3703071672354949</v>
      </c>
      <c r="C9" s="104">
        <f>E9-'[1]France'!E9</f>
        <v>-207</v>
      </c>
      <c r="D9" s="93">
        <f>F9-'[1]France'!F9</f>
        <v>-517</v>
      </c>
      <c r="E9" s="57">
        <v>738</v>
      </c>
      <c r="F9" s="93">
        <v>1172</v>
      </c>
      <c r="G9" s="93">
        <v>1597</v>
      </c>
      <c r="H9" s="93">
        <v>904</v>
      </c>
      <c r="I9" s="93">
        <v>1153</v>
      </c>
      <c r="J9" s="93">
        <v>679</v>
      </c>
      <c r="K9" s="93">
        <v>347</v>
      </c>
      <c r="L9" s="93">
        <v>789</v>
      </c>
      <c r="M9" s="93">
        <v>666</v>
      </c>
      <c r="N9" s="93">
        <v>597</v>
      </c>
      <c r="O9" s="93">
        <v>674</v>
      </c>
      <c r="P9" s="95">
        <v>1493</v>
      </c>
    </row>
    <row r="10" spans="1:16" ht="12.75">
      <c r="A10" s="54" t="s">
        <v>12</v>
      </c>
      <c r="B10" s="61">
        <f t="shared" si="0"/>
        <v>-0.24384442033219264</v>
      </c>
      <c r="C10" s="104">
        <f>E10-'[1]France'!E10</f>
        <v>-3463</v>
      </c>
      <c r="D10" s="93">
        <f>F10-'[1]France'!F10</f>
        <v>-4880</v>
      </c>
      <c r="E10" s="57">
        <v>18119</v>
      </c>
      <c r="F10" s="93">
        <v>23962</v>
      </c>
      <c r="G10" s="93">
        <v>10899</v>
      </c>
      <c r="H10" s="93">
        <v>19839</v>
      </c>
      <c r="I10" s="93">
        <v>15119</v>
      </c>
      <c r="J10" s="93">
        <v>17994</v>
      </c>
      <c r="K10" s="93">
        <v>12865</v>
      </c>
      <c r="L10" s="93">
        <v>22367</v>
      </c>
      <c r="M10" s="93">
        <v>12487</v>
      </c>
      <c r="N10" s="93">
        <v>17585</v>
      </c>
      <c r="O10" s="93">
        <v>19858</v>
      </c>
      <c r="P10" s="95">
        <v>19305</v>
      </c>
    </row>
    <row r="11" spans="1:16" ht="12.75">
      <c r="A11" s="54" t="s">
        <v>9</v>
      </c>
      <c r="B11" s="61">
        <f t="shared" si="0"/>
        <v>0.08074312254376563</v>
      </c>
      <c r="C11" s="104">
        <f>E11-'[1]France'!E11</f>
        <v>-18634</v>
      </c>
      <c r="D11" s="93">
        <f>F11-'[1]France'!F11</f>
        <v>-29204</v>
      </c>
      <c r="E11" s="57">
        <v>78650</v>
      </c>
      <c r="F11" s="93">
        <v>72774</v>
      </c>
      <c r="G11" s="93">
        <v>61676</v>
      </c>
      <c r="H11" s="93">
        <v>51789</v>
      </c>
      <c r="I11" s="93">
        <v>46823</v>
      </c>
      <c r="J11" s="93">
        <v>33473</v>
      </c>
      <c r="K11" s="93">
        <v>33492</v>
      </c>
      <c r="L11" s="93">
        <v>40151</v>
      </c>
      <c r="M11" s="93">
        <v>27340</v>
      </c>
      <c r="N11" s="93">
        <v>31758</v>
      </c>
      <c r="O11" s="93">
        <v>45187</v>
      </c>
      <c r="P11" s="95">
        <v>35799</v>
      </c>
    </row>
    <row r="12" spans="1:16" ht="12.75">
      <c r="A12" s="54" t="s">
        <v>3</v>
      </c>
      <c r="B12" s="61">
        <f t="shared" si="0"/>
        <v>-0.32214191160104494</v>
      </c>
      <c r="C12" s="104">
        <f>E12-'[1]France'!E12</f>
        <v>-14805</v>
      </c>
      <c r="D12" s="93">
        <f>F12-'[1]France'!F12</f>
        <v>-22270</v>
      </c>
      <c r="E12" s="57">
        <v>115728</v>
      </c>
      <c r="F12" s="93">
        <v>170726</v>
      </c>
      <c r="G12" s="93">
        <v>140014</v>
      </c>
      <c r="H12" s="93">
        <v>152696</v>
      </c>
      <c r="I12" s="93">
        <v>173162</v>
      </c>
      <c r="J12" s="93">
        <v>176217</v>
      </c>
      <c r="K12" s="93">
        <v>167898</v>
      </c>
      <c r="L12" s="93">
        <v>205985</v>
      </c>
      <c r="M12" s="93">
        <v>103686</v>
      </c>
      <c r="N12" s="93">
        <v>176223</v>
      </c>
      <c r="O12" s="93">
        <v>193495</v>
      </c>
      <c r="P12" s="95">
        <v>201605</v>
      </c>
    </row>
    <row r="13" spans="1:16" ht="12.75">
      <c r="A13" s="54" t="s">
        <v>135</v>
      </c>
      <c r="B13" s="61">
        <f t="shared" si="0"/>
        <v>-0.10261930391101542</v>
      </c>
      <c r="C13" s="104">
        <f>E13-'[1]France'!E13</f>
        <v>-324</v>
      </c>
      <c r="D13" s="93">
        <f>F13-'[1]France'!F13</f>
        <v>-252</v>
      </c>
      <c r="E13" s="57">
        <v>2501</v>
      </c>
      <c r="F13" s="93">
        <v>2787</v>
      </c>
      <c r="G13" s="93">
        <v>2138</v>
      </c>
      <c r="H13" s="93">
        <v>1895</v>
      </c>
      <c r="I13" s="93">
        <v>1690</v>
      </c>
      <c r="J13" s="93">
        <v>2142</v>
      </c>
      <c r="K13" s="93">
        <v>1900</v>
      </c>
      <c r="L13" s="93">
        <v>2676</v>
      </c>
      <c r="M13" s="93">
        <v>1764</v>
      </c>
      <c r="N13" s="93">
        <v>2399</v>
      </c>
      <c r="O13" s="93">
        <v>1876</v>
      </c>
      <c r="P13" s="95">
        <v>1681</v>
      </c>
    </row>
    <row r="14" spans="1:16" ht="12.75">
      <c r="A14" s="54" t="s">
        <v>17</v>
      </c>
      <c r="B14" s="61">
        <f t="shared" si="0"/>
        <v>-0.005805783595887878</v>
      </c>
      <c r="C14" s="104">
        <f>E14-'[1]France'!E14</f>
        <v>-8867</v>
      </c>
      <c r="D14" s="93">
        <f>F14-'[1]France'!F14</f>
        <v>-13722</v>
      </c>
      <c r="E14" s="57">
        <v>53770</v>
      </c>
      <c r="F14" s="93">
        <v>54084</v>
      </c>
      <c r="G14" s="93">
        <v>51151</v>
      </c>
      <c r="H14" s="93">
        <v>55666</v>
      </c>
      <c r="I14" s="93">
        <v>48541</v>
      </c>
      <c r="J14" s="93">
        <v>66270</v>
      </c>
      <c r="K14" s="93">
        <v>51243</v>
      </c>
      <c r="L14" s="93">
        <v>68360</v>
      </c>
      <c r="M14" s="93">
        <v>41981</v>
      </c>
      <c r="N14" s="93">
        <v>57074</v>
      </c>
      <c r="O14" s="93">
        <v>54239</v>
      </c>
      <c r="P14" s="95">
        <v>53277</v>
      </c>
    </row>
    <row r="15" spans="1:16" ht="12.75">
      <c r="A15" s="54" t="s">
        <v>127</v>
      </c>
      <c r="B15" s="61">
        <f t="shared" si="0"/>
        <v>-0.8395916879329202</v>
      </c>
      <c r="C15" s="104">
        <f>E15-'[1]France'!E15</f>
        <v>-785</v>
      </c>
      <c r="D15" s="93">
        <f>F15-'[1]France'!F15</f>
        <v>-1851</v>
      </c>
      <c r="E15" s="57">
        <v>880</v>
      </c>
      <c r="F15" s="93">
        <v>5486</v>
      </c>
      <c r="G15" s="93">
        <v>2937</v>
      </c>
      <c r="H15" s="93">
        <v>3072</v>
      </c>
      <c r="I15" s="93">
        <v>4247</v>
      </c>
      <c r="J15" s="93">
        <v>2875</v>
      </c>
      <c r="K15" s="93">
        <v>6484</v>
      </c>
      <c r="L15" s="93">
        <v>5221</v>
      </c>
      <c r="M15" s="93">
        <v>2901</v>
      </c>
      <c r="N15" s="93">
        <v>329</v>
      </c>
      <c r="O15" s="93">
        <v>2760</v>
      </c>
      <c r="P15" s="95">
        <v>694</v>
      </c>
    </row>
    <row r="16" spans="1:17" ht="12.75">
      <c r="A16" s="54" t="s">
        <v>10</v>
      </c>
      <c r="B16" s="61">
        <f t="shared" si="0"/>
        <v>-0.18524727577535624</v>
      </c>
      <c r="C16" s="104">
        <f>E16-'[1]France'!E16</f>
        <v>-148</v>
      </c>
      <c r="D16" s="93">
        <f>F16-'[1]France'!F16</f>
        <v>-147</v>
      </c>
      <c r="E16" s="57">
        <v>972</v>
      </c>
      <c r="F16" s="93">
        <v>1193</v>
      </c>
      <c r="G16" s="93">
        <v>1321</v>
      </c>
      <c r="H16" s="93">
        <v>631</v>
      </c>
      <c r="I16" s="93">
        <v>912</v>
      </c>
      <c r="J16" s="93">
        <v>1644</v>
      </c>
      <c r="K16" s="93">
        <v>819</v>
      </c>
      <c r="L16" s="93">
        <v>1228</v>
      </c>
      <c r="M16" s="93">
        <v>902</v>
      </c>
      <c r="N16" s="93">
        <v>1681</v>
      </c>
      <c r="O16" s="93">
        <v>1570</v>
      </c>
      <c r="P16" s="95">
        <v>2093</v>
      </c>
      <c r="Q16" s="1"/>
    </row>
    <row r="17" spans="1:17" ht="12.75">
      <c r="A17" s="54" t="s">
        <v>126</v>
      </c>
      <c r="B17" s="61">
        <f t="shared" si="0"/>
        <v>-0.12066246056782334</v>
      </c>
      <c r="C17" s="104">
        <f>E17-'[1]France'!E17</f>
        <v>-3056</v>
      </c>
      <c r="D17" s="93">
        <f>F17-'[1]France'!F17</f>
        <v>-241</v>
      </c>
      <c r="E17" s="57">
        <v>15610</v>
      </c>
      <c r="F17" s="93">
        <v>17752</v>
      </c>
      <c r="G17" s="93">
        <v>12359</v>
      </c>
      <c r="H17" s="93">
        <v>13803</v>
      </c>
      <c r="I17" s="93">
        <v>8722</v>
      </c>
      <c r="J17" s="93">
        <v>8976</v>
      </c>
      <c r="K17" s="93">
        <v>7193</v>
      </c>
      <c r="L17" s="93">
        <v>6310</v>
      </c>
      <c r="M17" s="93">
        <v>3512</v>
      </c>
      <c r="N17" s="93">
        <v>6887</v>
      </c>
      <c r="O17" s="93">
        <v>5158</v>
      </c>
      <c r="P17" s="95">
        <v>8556</v>
      </c>
      <c r="Q17" s="1"/>
    </row>
    <row r="18" spans="1:17" ht="12.75">
      <c r="A18" s="54" t="s">
        <v>26</v>
      </c>
      <c r="B18" s="61">
        <f t="shared" si="0"/>
        <v>-0.11354954076241568</v>
      </c>
      <c r="C18" s="104">
        <f>E18-'[1]France'!E18</f>
        <v>-654</v>
      </c>
      <c r="D18" s="93">
        <f>F18-'[1]France'!F18</f>
        <v>-240</v>
      </c>
      <c r="E18" s="57">
        <v>10906</v>
      </c>
      <c r="F18" s="93">
        <v>12303</v>
      </c>
      <c r="G18" s="93">
        <v>10849</v>
      </c>
      <c r="H18" s="93">
        <v>8559</v>
      </c>
      <c r="I18" s="93">
        <v>8516</v>
      </c>
      <c r="J18" s="93">
        <v>7912</v>
      </c>
      <c r="K18" s="93">
        <v>4056</v>
      </c>
      <c r="L18" s="93">
        <v>6174</v>
      </c>
      <c r="M18" s="93">
        <v>2328</v>
      </c>
      <c r="N18" s="93">
        <v>5145</v>
      </c>
      <c r="O18" s="93">
        <v>6566</v>
      </c>
      <c r="P18" s="95">
        <v>9081</v>
      </c>
      <c r="Q18" s="1"/>
    </row>
    <row r="19" spans="1:18" s="16" customFormat="1" ht="12.75">
      <c r="A19" s="54" t="s">
        <v>118</v>
      </c>
      <c r="B19" s="61">
        <f t="shared" si="0"/>
        <v>-0.39209726443769</v>
      </c>
      <c r="C19" s="104">
        <f>E19-'[1]France'!E19</f>
        <v>-79</v>
      </c>
      <c r="D19" s="93">
        <f>F19-'[1]France'!F19</f>
        <v>-320</v>
      </c>
      <c r="E19" s="57">
        <v>200</v>
      </c>
      <c r="F19" s="93">
        <v>329</v>
      </c>
      <c r="G19" s="93">
        <v>372</v>
      </c>
      <c r="H19" s="93">
        <v>78</v>
      </c>
      <c r="I19" s="93">
        <v>71</v>
      </c>
      <c r="J19" s="93">
        <v>397</v>
      </c>
      <c r="K19" s="93">
        <v>30</v>
      </c>
      <c r="L19" s="93">
        <v>164</v>
      </c>
      <c r="M19" s="93">
        <v>15</v>
      </c>
      <c r="N19" s="93">
        <v>344</v>
      </c>
      <c r="O19" s="93">
        <v>86</v>
      </c>
      <c r="P19" s="95">
        <v>518</v>
      </c>
      <c r="R19"/>
    </row>
    <row r="20" spans="1:16" ht="12.75">
      <c r="A20" s="54" t="s">
        <v>86</v>
      </c>
      <c r="B20" s="61">
        <f t="shared" si="0"/>
        <v>-0.027092952347765483</v>
      </c>
      <c r="C20" s="104">
        <f>E20-'[1]France'!E20</f>
        <v>-3440</v>
      </c>
      <c r="D20" s="93">
        <f>F20-'[1]France'!F20</f>
        <v>-3120</v>
      </c>
      <c r="E20" s="57">
        <v>11168</v>
      </c>
      <c r="F20" s="93">
        <v>11479</v>
      </c>
      <c r="G20" s="93">
        <v>10776</v>
      </c>
      <c r="H20" s="93">
        <v>9571</v>
      </c>
      <c r="I20" s="93">
        <v>8230</v>
      </c>
      <c r="J20" s="93">
        <v>10221</v>
      </c>
      <c r="K20" s="93">
        <v>9265</v>
      </c>
      <c r="L20" s="93">
        <v>13431</v>
      </c>
      <c r="M20" s="93">
        <v>3256</v>
      </c>
      <c r="N20" s="93">
        <v>11207</v>
      </c>
      <c r="O20" s="93">
        <v>11366</v>
      </c>
      <c r="P20" s="95">
        <v>12108</v>
      </c>
    </row>
    <row r="21" spans="1:16" ht="12.75">
      <c r="A21" s="54" t="s">
        <v>125</v>
      </c>
      <c r="B21" s="61">
        <f t="shared" si="0"/>
        <v>-0.31207693134200065</v>
      </c>
      <c r="C21" s="104">
        <f>E21-'[1]France'!E21</f>
        <v>-2204</v>
      </c>
      <c r="D21" s="93">
        <f>F21-'[1]France'!F21</f>
        <v>-4367</v>
      </c>
      <c r="E21" s="57">
        <v>12805</v>
      </c>
      <c r="F21" s="93">
        <v>18614</v>
      </c>
      <c r="G21" s="93">
        <v>12203</v>
      </c>
      <c r="H21" s="93">
        <v>13569</v>
      </c>
      <c r="I21" s="93">
        <v>10547</v>
      </c>
      <c r="J21" s="93">
        <v>12604</v>
      </c>
      <c r="K21" s="93">
        <v>9793</v>
      </c>
      <c r="L21" s="93">
        <v>15968</v>
      </c>
      <c r="M21" s="93">
        <v>6287</v>
      </c>
      <c r="N21" s="93">
        <v>8172</v>
      </c>
      <c r="O21" s="93">
        <v>12200</v>
      </c>
      <c r="P21" s="95">
        <v>15624</v>
      </c>
    </row>
    <row r="22" spans="1:16" ht="12.75">
      <c r="A22" s="54" t="s">
        <v>114</v>
      </c>
      <c r="B22" s="61">
        <f t="shared" si="0"/>
        <v>-0.5777450257921887</v>
      </c>
      <c r="C22" s="104">
        <f>E22-'[1]France'!E22</f>
        <v>-316</v>
      </c>
      <c r="D22" s="93">
        <f>F22-'[1]France'!F22</f>
        <v>-120</v>
      </c>
      <c r="E22" s="57">
        <v>573</v>
      </c>
      <c r="F22" s="93">
        <v>1357</v>
      </c>
      <c r="G22" s="93">
        <v>774</v>
      </c>
      <c r="H22" s="93">
        <v>372</v>
      </c>
      <c r="I22" s="93">
        <v>166</v>
      </c>
      <c r="J22" s="93">
        <v>921</v>
      </c>
      <c r="K22" s="93">
        <v>233</v>
      </c>
      <c r="L22" s="93">
        <v>1277</v>
      </c>
      <c r="M22" s="93">
        <v>454</v>
      </c>
      <c r="N22" s="93">
        <v>833</v>
      </c>
      <c r="O22" s="93">
        <v>777</v>
      </c>
      <c r="P22" s="95">
        <v>1726</v>
      </c>
    </row>
    <row r="23" spans="1:16" ht="12.75">
      <c r="A23" s="54" t="s">
        <v>128</v>
      </c>
      <c r="B23" s="61">
        <f t="shared" si="0"/>
        <v>-0.10007864726700748</v>
      </c>
      <c r="C23" s="104">
        <f>E23-'[1]France'!E23</f>
        <v>-888</v>
      </c>
      <c r="D23" s="93">
        <f>F23-'[1]France'!F23</f>
        <v>-238</v>
      </c>
      <c r="E23" s="57">
        <v>9154</v>
      </c>
      <c r="F23" s="93">
        <v>10172</v>
      </c>
      <c r="G23" s="93">
        <v>9778</v>
      </c>
      <c r="H23" s="93">
        <v>7678</v>
      </c>
      <c r="I23" s="93">
        <v>5780</v>
      </c>
      <c r="J23" s="93">
        <v>5305</v>
      </c>
      <c r="K23" s="93">
        <v>6968</v>
      </c>
      <c r="L23" s="93">
        <v>6758</v>
      </c>
      <c r="M23" s="93">
        <v>5161</v>
      </c>
      <c r="N23" s="93">
        <v>6335</v>
      </c>
      <c r="O23" s="93">
        <v>6146</v>
      </c>
      <c r="P23" s="95">
        <v>6393</v>
      </c>
    </row>
    <row r="24" spans="1:16" ht="12.75">
      <c r="A24" s="54" t="s">
        <v>123</v>
      </c>
      <c r="B24" s="61">
        <f t="shared" si="0"/>
        <v>-0.21881562368752625</v>
      </c>
      <c r="C24" s="104">
        <f>E24-'[1]France'!E24</f>
        <v>-459</v>
      </c>
      <c r="D24" s="93">
        <f>F24-'[1]France'!F24</f>
        <v>-561</v>
      </c>
      <c r="E24" s="57">
        <v>1860</v>
      </c>
      <c r="F24" s="93">
        <v>2381</v>
      </c>
      <c r="G24" s="93">
        <v>2643</v>
      </c>
      <c r="H24" s="93">
        <v>2413</v>
      </c>
      <c r="I24" s="93">
        <v>4262</v>
      </c>
      <c r="J24" s="93">
        <v>3730</v>
      </c>
      <c r="K24" s="93">
        <v>2888</v>
      </c>
      <c r="L24" s="93">
        <v>5356</v>
      </c>
      <c r="M24" s="93">
        <v>3841</v>
      </c>
      <c r="N24" s="93">
        <v>3178</v>
      </c>
      <c r="O24" s="93">
        <v>3020</v>
      </c>
      <c r="P24" s="95">
        <v>3913</v>
      </c>
    </row>
    <row r="25" spans="1:16" ht="13.5" thickBot="1">
      <c r="A25" s="55" t="s">
        <v>6</v>
      </c>
      <c r="B25" s="62">
        <f t="shared" si="0"/>
        <v>0.6731681034482758</v>
      </c>
      <c r="C25" s="174">
        <f>E25-'[1]France'!E25</f>
        <v>-4765</v>
      </c>
      <c r="D25" s="94">
        <f>F25-'[1]France'!F25</f>
        <v>-2046</v>
      </c>
      <c r="E25" s="58">
        <v>15527</v>
      </c>
      <c r="F25" s="94">
        <v>9280</v>
      </c>
      <c r="G25" s="94">
        <v>5687</v>
      </c>
      <c r="H25" s="94">
        <v>3876</v>
      </c>
      <c r="I25" s="94">
        <v>3851</v>
      </c>
      <c r="J25" s="94">
        <v>3316</v>
      </c>
      <c r="K25" s="94">
        <v>2448</v>
      </c>
      <c r="L25" s="94">
        <v>7926</v>
      </c>
      <c r="M25" s="94">
        <v>5075</v>
      </c>
      <c r="N25" s="94">
        <v>3572</v>
      </c>
      <c r="O25" s="94">
        <v>3584</v>
      </c>
      <c r="P25" s="96">
        <v>4547</v>
      </c>
    </row>
    <row r="26" spans="1:16" ht="13.5" thickBot="1">
      <c r="A26" s="53" t="s">
        <v>90</v>
      </c>
      <c r="B26" s="108">
        <f t="shared" si="0"/>
        <v>-0.13520538382867275</v>
      </c>
      <c r="C26" s="66">
        <f>E26-'[1]France'!E26</f>
        <v>-91648</v>
      </c>
      <c r="D26" s="124">
        <f>F26-'[1]France'!F26</f>
        <v>-117785</v>
      </c>
      <c r="E26" s="169">
        <f>SUM(E2:E25)</f>
        <v>479443</v>
      </c>
      <c r="F26" s="124">
        <f>SUM(F2:F25)</f>
        <v>554401</v>
      </c>
      <c r="G26" s="124">
        <f>SUM(G2:G25)</f>
        <v>468368</v>
      </c>
      <c r="H26" s="124">
        <f>SUM(H2:H25)</f>
        <v>457446</v>
      </c>
      <c r="I26" s="125">
        <f>SUM(I2:I25)</f>
        <v>468092</v>
      </c>
      <c r="J26" s="125">
        <f aca="true" t="shared" si="1" ref="J26:P26">SUM(J2:J25)</f>
        <v>480183</v>
      </c>
      <c r="K26" s="125">
        <f t="shared" si="1"/>
        <v>431513</v>
      </c>
      <c r="L26" s="125">
        <f t="shared" si="1"/>
        <v>542997</v>
      </c>
      <c r="M26" s="125">
        <f t="shared" si="1"/>
        <v>298285</v>
      </c>
      <c r="N26" s="125">
        <f t="shared" si="1"/>
        <v>455954</v>
      </c>
      <c r="O26" s="125">
        <f t="shared" si="1"/>
        <v>484852</v>
      </c>
      <c r="P26" s="130">
        <f t="shared" si="1"/>
        <v>505923</v>
      </c>
    </row>
    <row r="27" spans="4:9" ht="12.75">
      <c r="D27" s="9"/>
      <c r="E27" s="9"/>
      <c r="I27" s="9"/>
    </row>
    <row r="28" spans="1:16" s="67" customFormat="1" ht="13.5" thickBot="1">
      <c r="A28" s="10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 s="67" customFormat="1" ht="13.5" thickBot="1">
      <c r="A29" s="53" t="s">
        <v>23</v>
      </c>
      <c r="B29" s="32" t="s">
        <v>172</v>
      </c>
      <c r="C29" s="63" t="s">
        <v>173</v>
      </c>
      <c r="D29" s="110" t="s">
        <v>166</v>
      </c>
      <c r="E29" s="161">
        <v>44228</v>
      </c>
      <c r="F29" s="113">
        <v>43862</v>
      </c>
      <c r="G29" s="113">
        <v>43497</v>
      </c>
      <c r="H29" s="113">
        <v>43132</v>
      </c>
      <c r="I29" s="33">
        <v>42767</v>
      </c>
      <c r="J29" s="33">
        <v>42401</v>
      </c>
      <c r="K29" s="33">
        <v>42036</v>
      </c>
      <c r="L29" s="33">
        <v>41671</v>
      </c>
      <c r="M29" s="33">
        <v>41306</v>
      </c>
      <c r="N29" s="33">
        <v>40940</v>
      </c>
      <c r="O29" s="33">
        <v>40575</v>
      </c>
      <c r="P29" s="49">
        <v>40210</v>
      </c>
    </row>
    <row r="30" spans="1:16" ht="12.75">
      <c r="A30" s="71" t="s">
        <v>136</v>
      </c>
      <c r="B30" s="61">
        <f aca="true" t="shared" si="2" ref="B30:B38">(E30-F30)/F30</f>
        <v>1.2726530612244897</v>
      </c>
      <c r="C30" s="104">
        <f>E30-'[1]France'!E30</f>
        <v>-377</v>
      </c>
      <c r="D30" s="93">
        <f>F30-'[1]France'!F30</f>
        <v>-591</v>
      </c>
      <c r="E30" s="57">
        <v>2784</v>
      </c>
      <c r="F30" s="93">
        <v>1225</v>
      </c>
      <c r="G30" s="93">
        <v>1441</v>
      </c>
      <c r="H30" s="93">
        <v>1653</v>
      </c>
      <c r="I30" s="141">
        <v>1874</v>
      </c>
      <c r="J30" s="141">
        <v>1875</v>
      </c>
      <c r="K30" s="141">
        <v>3055</v>
      </c>
      <c r="L30" s="141">
        <v>2734</v>
      </c>
      <c r="M30" s="141">
        <v>1411</v>
      </c>
      <c r="N30" s="141">
        <v>3077</v>
      </c>
      <c r="O30" s="141"/>
      <c r="P30" s="137">
        <v>2422</v>
      </c>
    </row>
    <row r="31" spans="1:16" ht="12.75">
      <c r="A31" s="71" t="s">
        <v>137</v>
      </c>
      <c r="B31" s="61"/>
      <c r="C31" s="104">
        <f>E31-'[1]France'!E31</f>
        <v>0</v>
      </c>
      <c r="D31" s="93">
        <f>F31-'[1]France'!F31</f>
        <v>0</v>
      </c>
      <c r="E31" s="57"/>
      <c r="F31" s="93"/>
      <c r="G31" s="93">
        <v>0</v>
      </c>
      <c r="H31" s="93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/>
      <c r="P31" s="137">
        <v>0</v>
      </c>
    </row>
    <row r="32" spans="1:16" ht="12.75">
      <c r="A32" s="71" t="s">
        <v>7</v>
      </c>
      <c r="B32" s="61">
        <f t="shared" si="2"/>
        <v>0.04289349327517267</v>
      </c>
      <c r="C32" s="104">
        <f>E32-'[1]France'!E32</f>
        <v>-1869</v>
      </c>
      <c r="D32" s="93">
        <f>F32-'[1]France'!F32</f>
        <v>-1431</v>
      </c>
      <c r="E32" s="57">
        <v>2869</v>
      </c>
      <c r="F32" s="93">
        <v>2751</v>
      </c>
      <c r="G32" s="93">
        <v>2879</v>
      </c>
      <c r="H32" s="93">
        <v>2694</v>
      </c>
      <c r="I32" s="93">
        <v>1841</v>
      </c>
      <c r="J32" s="93">
        <v>2550</v>
      </c>
      <c r="K32" s="93">
        <v>1674</v>
      </c>
      <c r="L32" s="9">
        <v>936</v>
      </c>
      <c r="M32" s="9">
        <v>585</v>
      </c>
      <c r="N32" s="93">
        <v>2959</v>
      </c>
      <c r="O32" s="93"/>
      <c r="P32" s="95">
        <v>1968</v>
      </c>
    </row>
    <row r="33" spans="1:16" ht="12.75">
      <c r="A33" s="71" t="s">
        <v>91</v>
      </c>
      <c r="B33" s="61">
        <f t="shared" si="2"/>
        <v>0.21649484536082475</v>
      </c>
      <c r="C33" s="104">
        <f>E33-'[1]France'!E33</f>
        <v>-1055</v>
      </c>
      <c r="D33" s="93">
        <f>F33-'[1]France'!F33</f>
        <v>-499</v>
      </c>
      <c r="E33" s="57">
        <v>590</v>
      </c>
      <c r="F33" s="93">
        <v>485</v>
      </c>
      <c r="G33" s="93">
        <v>1137</v>
      </c>
      <c r="H33" s="93">
        <v>661</v>
      </c>
      <c r="I33" s="93">
        <v>624</v>
      </c>
      <c r="J33" s="9">
        <v>848</v>
      </c>
      <c r="K33" s="9">
        <v>647</v>
      </c>
      <c r="L33" s="9">
        <v>508</v>
      </c>
      <c r="M33" s="9">
        <v>34</v>
      </c>
      <c r="N33">
        <v>748</v>
      </c>
      <c r="O33" s="93"/>
      <c r="P33" s="95">
        <v>811</v>
      </c>
    </row>
    <row r="34" spans="1:16" ht="12.75">
      <c r="A34" s="71" t="s">
        <v>138</v>
      </c>
      <c r="B34" s="61"/>
      <c r="C34" s="104">
        <f>E34-'[1]France'!E34</f>
        <v>0</v>
      </c>
      <c r="D34" s="93">
        <f>F34-'[1]France'!F34</f>
        <v>0</v>
      </c>
      <c r="E34" s="57"/>
      <c r="F34" s="93"/>
      <c r="G34" s="93">
        <v>0</v>
      </c>
      <c r="H34" s="93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93"/>
      <c r="P34" s="95">
        <v>0</v>
      </c>
    </row>
    <row r="35" spans="1:16" ht="12.75">
      <c r="A35" s="71" t="s">
        <v>139</v>
      </c>
      <c r="B35" s="61">
        <f t="shared" si="2"/>
        <v>-0.08253968253968254</v>
      </c>
      <c r="C35" s="104">
        <f>E35-'[1]France'!E35</f>
        <v>-575</v>
      </c>
      <c r="D35" s="93">
        <f>F35-'[1]France'!F35</f>
        <v>-80</v>
      </c>
      <c r="E35" s="57">
        <v>578</v>
      </c>
      <c r="F35" s="93">
        <v>630</v>
      </c>
      <c r="G35" s="93">
        <v>966</v>
      </c>
      <c r="H35" s="93">
        <v>672</v>
      </c>
      <c r="I35" s="93">
        <v>673</v>
      </c>
      <c r="J35" s="9">
        <v>915</v>
      </c>
      <c r="K35" s="9">
        <v>691</v>
      </c>
      <c r="L35" s="9">
        <v>616</v>
      </c>
      <c r="M35" s="9">
        <v>506</v>
      </c>
      <c r="N35" s="9">
        <v>410</v>
      </c>
      <c r="O35" s="93"/>
      <c r="P35" s="95">
        <v>602</v>
      </c>
    </row>
    <row r="36" spans="1:16" ht="12.75">
      <c r="A36" s="71" t="s">
        <v>140</v>
      </c>
      <c r="B36" s="61">
        <f t="shared" si="2"/>
        <v>-0.34782608695652173</v>
      </c>
      <c r="C36" s="104">
        <f>E36-'[1]France'!E36</f>
        <v>-140</v>
      </c>
      <c r="D36" s="93">
        <f>F36-'[1]France'!F36</f>
        <v>-445</v>
      </c>
      <c r="E36" s="57">
        <v>60</v>
      </c>
      <c r="F36" s="93">
        <v>92</v>
      </c>
      <c r="G36" s="93">
        <v>87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7</v>
      </c>
      <c r="O36" s="93"/>
      <c r="P36" s="95">
        <v>0</v>
      </c>
    </row>
    <row r="37" spans="1:16" ht="13.5" thickBot="1">
      <c r="A37" s="75" t="s">
        <v>6</v>
      </c>
      <c r="B37" s="62">
        <f t="shared" si="2"/>
        <v>1.6619718309859155</v>
      </c>
      <c r="C37" s="174">
        <f>E37-'[1]France'!E37</f>
        <v>-845</v>
      </c>
      <c r="D37" s="94">
        <f>F37-'[1]France'!F37</f>
        <v>-278</v>
      </c>
      <c r="E37" s="58">
        <v>567</v>
      </c>
      <c r="F37" s="94">
        <v>213</v>
      </c>
      <c r="G37" s="94">
        <v>565</v>
      </c>
      <c r="H37" s="94">
        <v>326</v>
      </c>
      <c r="I37" s="94">
        <v>485</v>
      </c>
      <c r="J37" s="93">
        <v>20</v>
      </c>
      <c r="K37" s="93">
        <v>46</v>
      </c>
      <c r="L37" s="93">
        <v>78</v>
      </c>
      <c r="M37" s="93">
        <v>87</v>
      </c>
      <c r="N37" s="93">
        <v>147</v>
      </c>
      <c r="O37" s="93"/>
      <c r="P37" s="95">
        <v>166</v>
      </c>
    </row>
    <row r="38" spans="1:16" ht="13.5" thickBot="1">
      <c r="A38" s="53" t="s">
        <v>90</v>
      </c>
      <c r="B38" s="108">
        <f t="shared" si="2"/>
        <v>0.38028169014084506</v>
      </c>
      <c r="C38" s="66">
        <f>E38-'[1]France'!E38</f>
        <v>-4861</v>
      </c>
      <c r="D38" s="124">
        <f>F38-'[1]France'!F38</f>
        <v>-3324</v>
      </c>
      <c r="E38" s="169">
        <f>SUM(E30:E37)</f>
        <v>7448</v>
      </c>
      <c r="F38" s="124">
        <f>SUM(F30:F37)</f>
        <v>5396</v>
      </c>
      <c r="G38" s="124">
        <f>SUM(G30:G37)</f>
        <v>7075</v>
      </c>
      <c r="H38" s="124">
        <f>SUM(H30:H37)</f>
        <v>6006</v>
      </c>
      <c r="I38" s="42">
        <f aca="true" t="shared" si="3" ref="I38:N38">SUM(I30:I37)</f>
        <v>5497</v>
      </c>
      <c r="J38" s="125">
        <f t="shared" si="3"/>
        <v>6208</v>
      </c>
      <c r="K38" s="125">
        <f t="shared" si="3"/>
        <v>6113</v>
      </c>
      <c r="L38" s="125">
        <f t="shared" si="3"/>
        <v>4872</v>
      </c>
      <c r="M38" s="125">
        <f t="shared" si="3"/>
        <v>2623</v>
      </c>
      <c r="N38" s="125">
        <f t="shared" si="3"/>
        <v>7348</v>
      </c>
      <c r="O38" s="125"/>
      <c r="P38" s="130">
        <f>SUM(P30:P37)</f>
        <v>5969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Microsoft Office User</cp:lastModifiedBy>
  <cp:lastPrinted>2018-02-15T13:54:34Z</cp:lastPrinted>
  <dcterms:created xsi:type="dcterms:W3CDTF">2006-12-13T13:34:27Z</dcterms:created>
  <dcterms:modified xsi:type="dcterms:W3CDTF">2021-02-23T10:43:22Z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