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8000" tabRatio="735" activeTab="2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country'!$A$1:$W$31</definedName>
    <definedName name="_xlnm.Print_Area" localSheetId="3">'EU - variety'!$A$1:$Q$44</definedName>
    <definedName name="_xlnm.Print_Area" localSheetId="1">'US'!$A$1:$U$41</definedName>
  </definedNames>
  <calcPr fullCalcOnLoad="1"/>
</workbook>
</file>

<file path=xl/sharedStrings.xml><?xml version="1.0" encoding="utf-8"?>
<sst xmlns="http://schemas.openxmlformats.org/spreadsheetml/2006/main" count="523" uniqueCount="177">
  <si>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</si>
  <si>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</si>
  <si>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</si>
  <si>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</si>
  <si>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</si>
  <si>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</si>
  <si>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</si>
  <si>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</si>
  <si>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</si>
  <si>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</si>
  <si>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</si>
  <si>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</si>
  <si>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</si>
  <si>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</si>
  <si>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</si>
  <si>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</si>
  <si>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</si>
  <si>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</si>
  <si>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</si>
  <si>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</si>
  <si>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</si>
  <si>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</si>
  <si>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</si>
  <si>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</si>
  <si>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</si>
  <si>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</si>
  <si>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</si>
  <si>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</si>
  <si>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</si>
  <si>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</si>
  <si>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</si>
  <si>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</si>
  <si>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</si>
  <si>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</si>
  <si>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</si>
  <si>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</si>
  <si>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</si>
  <si>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</si>
  <si>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</si>
  <si>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</si>
  <si>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</si>
  <si>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</si>
  <si>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</si>
  <si>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</si>
  <si>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</si>
  <si>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</si>
  <si>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</si>
  <si>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</si>
  <si>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</si>
  <si>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</si>
  <si>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</si>
  <si>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</si>
  <si>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</si>
  <si>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</si>
  <si>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</si>
  <si>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</si>
  <si>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</si>
  <si>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</si>
  <si>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</si>
  <si>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</si>
  <si>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</si>
  <si>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</si>
  <si>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</si>
  <si>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</si>
  <si>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</si>
  <si>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</si>
  <si>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</si>
  <si>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</si>
  <si>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</si>
  <si>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</si>
  <si>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</si>
  <si>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</si>
  <si>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</si>
  <si>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</si>
  <si>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</si>
  <si>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</si>
  <si>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</si>
  <si>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</si>
  <si>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</si>
  <si>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</si>
  <si>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</si>
  <si>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</si>
  <si>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</si>
  <si>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</si>
  <si>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</si>
  <si>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</si>
  <si>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</si>
  <si>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</si>
  <si>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</si>
  <si>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</si>
  <si>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</si>
  <si>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</si>
  <si>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</si>
  <si>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</si>
  <si>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</si>
  <si>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</si>
  <si>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</si>
  <si>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</si>
  <si>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</si>
  <si>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</si>
  <si>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</si>
  <si>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Cox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</si>
  <si>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</si>
  <si>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</si>
  <si>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</si>
  <si>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</si>
  <si>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</si>
  <si>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</si>
  <si>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</si>
  <si>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</si>
  <si>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</si>
  <si>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</si>
  <si>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</si>
  <si>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</si>
  <si>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</si>
  <si>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</si>
  <si>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</si>
  <si>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</si>
  <si>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</si>
  <si>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</si>
  <si>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</si>
  <si>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</si>
  <si>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</si>
  <si>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</si>
  <si>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</si>
  <si>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</si>
  <si>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</si>
  <si>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</si>
  <si>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</si>
  <si>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</si>
  <si>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</si>
  <si>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</si>
  <si>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</si>
  <si>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</si>
  <si>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</si>
  <si>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</si>
  <si>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</si>
  <si>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</si>
  <si>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</si>
  <si>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</si>
  <si>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</si>
  <si>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</si>
  <si>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</si>
  <si>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</si>
  <si>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MARCH</t>
  </si>
  <si>
    <t xml:space="preserve">* Other new varieties: Ariane, Belgica, Cameo, Diwa, Greenstar, Goldrush, Honey Crunch, Jazz, Junami, Kanzi, Mairac, Rubens, Tentation (temptation), Wellant, ... </t>
  </si>
  <si>
    <t>Golden Delicius</t>
  </si>
  <si>
    <t>Rocha</t>
  </si>
  <si>
    <t>Portugal</t>
  </si>
  <si>
    <t>Choupette</t>
  </si>
  <si>
    <t>ANP - Associação Nacional de Produtores de Pera Rocha</t>
  </si>
  <si>
    <t>Portugal:</t>
  </si>
  <si>
    <t>Evelina</t>
  </si>
  <si>
    <t>Concorde</t>
  </si>
  <si>
    <t>Doyenne du Comice</t>
  </si>
  <si>
    <t>Bohemica</t>
  </si>
  <si>
    <t>Lucasova</t>
  </si>
  <si>
    <t>Ligol</t>
  </si>
  <si>
    <t>AFRUCAT</t>
  </si>
  <si>
    <t>Honeycrisp</t>
  </si>
  <si>
    <t>** From 12/2014 Cox's is included in others</t>
  </si>
  <si>
    <t>* Rocha stocks are compared per two months, in this case to stocks of 1 January</t>
  </si>
  <si>
    <t>* Portugal: Rocha stocks are compared per two months, in this case to stocks of 1 January</t>
  </si>
  <si>
    <t>Durondeau</t>
  </si>
  <si>
    <t>Wiliams</t>
  </si>
  <si>
    <t>Forelle</t>
  </si>
  <si>
    <t>* As of 2017, the UK works with a different methodology, which is why the figures are not comparable.</t>
  </si>
  <si>
    <t>United Kingdom**</t>
  </si>
  <si>
    <t>Portugal*</t>
  </si>
  <si>
    <t>** As of the 2016/ 2017 season, the UK works with a different methodology, which is why the figures are not comparable.</t>
  </si>
  <si>
    <t>Moved 2020</t>
  </si>
  <si>
    <t>Cosmic Crisp</t>
  </si>
  <si>
    <t>Please note that this is just an indication. There might be a difference of  +- 10%</t>
  </si>
  <si>
    <t>A significant part of apples are sold to the industry</t>
  </si>
  <si>
    <t>Overview Northern Hemisphere apple and pear stocks 2020-2021</t>
  </si>
  <si>
    <t>%2021/2020</t>
  </si>
  <si>
    <t>Moved 2021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</si>
</sst>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* #,##0_ ;_ * \-#,##0_ ;_ * &quot;-&quot;_ ;_ @_ "/>
    <numFmt numFmtId="192" formatCode="_ &quot;€&quot;\ * #,##0.00_ ;_ &quot;€&quot;\ * \-#,##0.00_ ;_ &quot;€&quot;\ * &quot;-&quot;??_ ;_ @_ "/>
    <numFmt numFmtId="193" formatCode="_ * #,##0.00_ ;_ * \-#,##0.00_ ;_ * &quot;-&quot;??_ ;_ @_ 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_€_-;\-* #,##0\ _€_-;_-* &quot;-&quot;??\ _€_-;_-@_-"/>
    <numFmt numFmtId="202" formatCode="0.000"/>
    <numFmt numFmtId="203" formatCode="0.0"/>
    <numFmt numFmtId="204" formatCode="_(* #,##0_);_(* \(#,##0\);_(* &quot;-&quot;??_);_(@_)"/>
    <numFmt numFmtId="205" formatCode="[$-809]dd\ mmmm\ yyyy"/>
    <numFmt numFmtId="206" formatCode="#.##0"/>
    <numFmt numFmtId="207" formatCode="_-* #,##0.0\ _€_-;\-* #,##0.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Alignment="1">
      <alignment/>
    </xf>
    <xf numFmtId="199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Alignment="1">
      <alignment/>
    </xf>
    <xf numFmtId="3" fontId="0" fillId="37" borderId="10" xfId="0" applyNumberFormat="1" applyFill="1" applyBorder="1" applyAlignment="1">
      <alignment/>
    </xf>
    <xf numFmtId="0" fontId="0" fillId="0" borderId="0" xfId="58">
      <alignment/>
      <protection/>
    </xf>
    <xf numFmtId="0" fontId="1" fillId="35" borderId="13" xfId="58" applyFont="1" applyFill="1" applyBorder="1">
      <alignment/>
      <protection/>
    </xf>
    <xf numFmtId="0" fontId="0" fillId="35" borderId="11" xfId="58" applyFill="1" applyBorder="1">
      <alignment/>
      <protection/>
    </xf>
    <xf numFmtId="199" fontId="0" fillId="30" borderId="0" xfId="58" applyNumberFormat="1" applyFill="1">
      <alignment/>
      <protection/>
    </xf>
    <xf numFmtId="3" fontId="0" fillId="36" borderId="0" xfId="58" applyNumberFormat="1" applyFill="1">
      <alignment/>
      <protection/>
    </xf>
    <xf numFmtId="3" fontId="0" fillId="0" borderId="0" xfId="58" applyNumberFormat="1">
      <alignment/>
      <protection/>
    </xf>
    <xf numFmtId="0" fontId="0" fillId="35" borderId="12" xfId="58" applyFill="1" applyBorder="1">
      <alignment/>
      <protection/>
    </xf>
    <xf numFmtId="3" fontId="0" fillId="36" borderId="10" xfId="58" applyNumberFormat="1" applyFill="1" applyBorder="1">
      <alignment/>
      <protection/>
    </xf>
    <xf numFmtId="3" fontId="0" fillId="0" borderId="10" xfId="58" applyNumberFormat="1" applyBorder="1">
      <alignment/>
      <protection/>
    </xf>
    <xf numFmtId="0" fontId="1" fillId="35" borderId="12" xfId="58" applyFont="1" applyFill="1" applyBorder="1">
      <alignment/>
      <protection/>
    </xf>
    <xf numFmtId="199" fontId="1" fillId="30" borderId="14" xfId="58" applyNumberFormat="1" applyFont="1" applyFill="1" applyBorder="1">
      <alignment/>
      <protection/>
    </xf>
    <xf numFmtId="3" fontId="1" fillId="36" borderId="14" xfId="58" applyNumberFormat="1" applyFont="1" applyFill="1" applyBorder="1">
      <alignment/>
      <protection/>
    </xf>
    <xf numFmtId="3" fontId="0" fillId="0" borderId="14" xfId="58" applyNumberForma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8" applyNumberFormat="1" applyBorder="1">
      <alignment/>
      <protection/>
    </xf>
    <xf numFmtId="3" fontId="0" fillId="0" borderId="17" xfId="58" applyNumberFormat="1" applyBorder="1">
      <alignment/>
      <protection/>
    </xf>
    <xf numFmtId="3" fontId="0" fillId="0" borderId="15" xfId="58" applyNumberFormat="1" applyBorder="1">
      <alignment/>
      <protection/>
    </xf>
    <xf numFmtId="3" fontId="1" fillId="37" borderId="14" xfId="0" applyNumberFormat="1" applyFont="1" applyFill="1" applyBorder="1" applyAlignment="1">
      <alignment/>
    </xf>
    <xf numFmtId="0" fontId="47" fillId="0" borderId="0" xfId="0" applyFont="1" applyAlignment="1">
      <alignment/>
    </xf>
    <xf numFmtId="3" fontId="0" fillId="36" borderId="0" xfId="0" applyNumberFormat="1" applyFont="1" applyFill="1" applyAlignment="1">
      <alignment horizontal="right"/>
    </xf>
    <xf numFmtId="3" fontId="32" fillId="26" borderId="16" xfId="39" applyNumberFormat="1" applyBorder="1" applyAlignment="1">
      <alignment/>
    </xf>
    <xf numFmtId="0" fontId="1" fillId="0" borderId="0" xfId="58" applyFont="1">
      <alignment/>
      <protection/>
    </xf>
    <xf numFmtId="199" fontId="1" fillId="30" borderId="10" xfId="0" applyNumberFormat="1" applyFont="1" applyFill="1" applyBorder="1" applyAlignment="1">
      <alignment/>
    </xf>
    <xf numFmtId="3" fontId="0" fillId="0" borderId="0" xfId="0" applyNumberFormat="1" applyAlignment="1" quotePrefix="1">
      <alignment/>
    </xf>
    <xf numFmtId="3" fontId="0" fillId="0" borderId="10" xfId="0" applyNumberFormat="1" applyBorder="1" applyAlignment="1" quotePrefix="1">
      <alignment/>
    </xf>
    <xf numFmtId="19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14" xfId="58" applyNumberFormat="1" applyFont="1" applyBorder="1">
      <alignment/>
      <protection/>
    </xf>
    <xf numFmtId="3" fontId="1" fillId="0" borderId="15" xfId="58" applyNumberFormat="1" applyFont="1" applyBorder="1">
      <alignment/>
      <protection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99" fontId="0" fillId="30" borderId="14" xfId="58" applyNumberFormat="1" applyFill="1" applyBorder="1">
      <alignment/>
      <protection/>
    </xf>
    <xf numFmtId="3" fontId="1" fillId="0" borderId="15" xfId="0" applyNumberFormat="1" applyFont="1" applyBorder="1" applyAlignment="1">
      <alignment/>
    </xf>
    <xf numFmtId="0" fontId="0" fillId="35" borderId="18" xfId="58" applyFill="1" applyBorder="1">
      <alignment/>
      <protection/>
    </xf>
    <xf numFmtId="3" fontId="0" fillId="0" borderId="19" xfId="58" applyNumberFormat="1" applyBorder="1">
      <alignment/>
      <protection/>
    </xf>
    <xf numFmtId="3" fontId="0" fillId="0" borderId="20" xfId="58" applyNumberFormat="1" applyBorder="1">
      <alignment/>
      <protection/>
    </xf>
    <xf numFmtId="3" fontId="32" fillId="26" borderId="0" xfId="39" applyNumberFormat="1" applyAlignment="1">
      <alignment/>
    </xf>
    <xf numFmtId="3" fontId="0" fillId="0" borderId="16" xfId="0" applyNumberFormat="1" applyFont="1" applyBorder="1" applyAlignment="1">
      <alignment horizontal="right"/>
    </xf>
    <xf numFmtId="14" fontId="1" fillId="0" borderId="14" xfId="58" applyNumberFormat="1" applyFont="1" applyBorder="1" applyAlignment="1">
      <alignment horizontal="center"/>
      <protection/>
    </xf>
    <xf numFmtId="14" fontId="1" fillId="0" borderId="15" xfId="58" applyNumberFormat="1" applyFont="1" applyBorder="1" applyAlignment="1">
      <alignment horizontal="center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/>
    </xf>
    <xf numFmtId="3" fontId="0" fillId="0" borderId="10" xfId="0" applyNumberFormat="1" applyFont="1" applyBorder="1" applyAlignment="1" quotePrefix="1">
      <alignment/>
    </xf>
    <xf numFmtId="199" fontId="0" fillId="34" borderId="0" xfId="0" applyNumberFormat="1" applyFill="1" applyAlignment="1">
      <alignment horizontal="right"/>
    </xf>
    <xf numFmtId="3" fontId="0" fillId="0" borderId="0" xfId="60" applyNumberFormat="1">
      <alignment/>
      <protection/>
    </xf>
    <xf numFmtId="3" fontId="0" fillId="0" borderId="10" xfId="60" applyNumberFormat="1" applyBorder="1">
      <alignment/>
      <protection/>
    </xf>
    <xf numFmtId="3" fontId="1" fillId="0" borderId="10" xfId="60" applyNumberFormat="1" applyFont="1" applyBorder="1">
      <alignment/>
      <protection/>
    </xf>
    <xf numFmtId="199" fontId="0" fillId="3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99" fontId="0" fillId="30" borderId="0" xfId="58" applyNumberFormat="1" applyFill="1" applyAlignment="1">
      <alignment horizontal="right"/>
      <protection/>
    </xf>
    <xf numFmtId="0" fontId="6" fillId="0" borderId="0" xfId="54" applyAlignment="1" applyProtection="1">
      <alignment/>
      <protection/>
    </xf>
    <xf numFmtId="3" fontId="0" fillId="0" borderId="0" xfId="58" applyNumberFormat="1" applyAlignment="1">
      <alignment horizontal="right"/>
      <protection/>
    </xf>
    <xf numFmtId="9" fontId="0" fillId="0" borderId="0" xfId="0" applyNumberFormat="1" applyAlignment="1">
      <alignment/>
    </xf>
    <xf numFmtId="199" fontId="1" fillId="34" borderId="14" xfId="0" applyNumberFormat="1" applyFont="1" applyFill="1" applyBorder="1" applyAlignment="1">
      <alignment/>
    </xf>
    <xf numFmtId="3" fontId="9" fillId="0" borderId="0" xfId="39" applyNumberFormat="1" applyFont="1" applyFill="1" applyAlignment="1">
      <alignment/>
    </xf>
    <xf numFmtId="3" fontId="9" fillId="0" borderId="16" xfId="39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14" fontId="1" fillId="36" borderId="14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0" fillId="0" borderId="10" xfId="0" applyNumberFormat="1" applyBorder="1" applyAlignment="1" quotePrefix="1">
      <alignment horizontal="right"/>
    </xf>
    <xf numFmtId="3" fontId="0" fillId="36" borderId="0" xfId="0" applyNumberFormat="1" applyFill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0" xfId="0" applyNumberFormat="1" applyAlignment="1" quotePrefix="1">
      <alignment horizontal="right"/>
    </xf>
    <xf numFmtId="14" fontId="1" fillId="0" borderId="14" xfId="0" applyNumberFormat="1" applyFont="1" applyBorder="1" applyAlignment="1">
      <alignment/>
    </xf>
    <xf numFmtId="199" fontId="0" fillId="37" borderId="10" xfId="0" applyNumberFormat="1" applyFont="1" applyFill="1" applyBorder="1" applyAlignment="1">
      <alignment/>
    </xf>
    <xf numFmtId="199" fontId="1" fillId="37" borderId="10" xfId="0" applyNumberFormat="1" applyFont="1" applyFill="1" applyBorder="1" applyAlignment="1">
      <alignment/>
    </xf>
    <xf numFmtId="199" fontId="0" fillId="37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37" borderId="0" xfId="0" applyNumberFormat="1" applyFont="1" applyFill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4" xfId="0" applyNumberFormat="1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37" borderId="14" xfId="58" applyNumberFormat="1" applyFill="1" applyBorder="1">
      <alignment/>
      <protection/>
    </xf>
    <xf numFmtId="3" fontId="1" fillId="37" borderId="14" xfId="0" applyNumberFormat="1" applyFont="1" applyFill="1" applyBorder="1" applyAlignment="1">
      <alignment horizontal="right"/>
    </xf>
    <xf numFmtId="3" fontId="1" fillId="37" borderId="14" xfId="58" applyNumberFormat="1" applyFont="1" applyFill="1" applyBorder="1">
      <alignment/>
      <protection/>
    </xf>
    <xf numFmtId="3" fontId="0" fillId="37" borderId="19" xfId="0" applyNumberFormat="1" applyFill="1" applyBorder="1" applyAlignment="1">
      <alignment/>
    </xf>
    <xf numFmtId="199" fontId="1" fillId="30" borderId="14" xfId="0" applyNumberFormat="1" applyFont="1" applyFill="1" applyBorder="1" applyAlignment="1">
      <alignment horizontal="right"/>
    </xf>
    <xf numFmtId="3" fontId="0" fillId="38" borderId="0" xfId="0" applyNumberFormat="1" applyFont="1" applyFill="1" applyAlignment="1">
      <alignment/>
    </xf>
    <xf numFmtId="3" fontId="0" fillId="38" borderId="10" xfId="0" applyNumberFormat="1" applyFont="1" applyFill="1" applyBorder="1" applyAlignment="1">
      <alignment/>
    </xf>
    <xf numFmtId="3" fontId="1" fillId="38" borderId="14" xfId="0" applyNumberFormat="1" applyFont="1" applyFill="1" applyBorder="1" applyAlignment="1">
      <alignment/>
    </xf>
    <xf numFmtId="199" fontId="0" fillId="34" borderId="14" xfId="0" applyNumberFormat="1" applyFill="1" applyBorder="1" applyAlignment="1">
      <alignment/>
    </xf>
    <xf numFmtId="199" fontId="1" fillId="30" borderId="14" xfId="0" applyNumberFormat="1" applyFont="1" applyFill="1" applyBorder="1" applyAlignment="1">
      <alignment/>
    </xf>
    <xf numFmtId="199" fontId="0" fillId="30" borderId="0" xfId="58" applyNumberFormat="1" applyFill="1" applyBorder="1">
      <alignment/>
      <protection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9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58" applyNumberFormat="1" applyFill="1">
      <alignment/>
      <protection/>
    </xf>
    <xf numFmtId="3" fontId="1" fillId="0" borderId="14" xfId="58" applyNumberFormat="1" applyFont="1" applyFill="1" applyBorder="1">
      <alignment/>
      <protection/>
    </xf>
    <xf numFmtId="0" fontId="0" fillId="0" borderId="0" xfId="0" applyFont="1" applyFill="1" applyAlignment="1">
      <alignment/>
    </xf>
    <xf numFmtId="199" fontId="1" fillId="30" borderId="14" xfId="58" applyNumberFormat="1" applyFont="1" applyFill="1" applyBorder="1" applyAlignment="1">
      <alignment horizontal="right"/>
      <protection/>
    </xf>
    <xf numFmtId="14" fontId="0" fillId="0" borderId="0" xfId="0" applyNumberFormat="1" applyFont="1" applyFill="1" applyAlignment="1">
      <alignment/>
    </xf>
    <xf numFmtId="0" fontId="0" fillId="0" borderId="0" xfId="58" applyFill="1">
      <alignment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0" fillId="0" borderId="0" xfId="60" applyNumberFormat="1" applyFill="1">
      <alignment/>
      <protection/>
    </xf>
    <xf numFmtId="3" fontId="0" fillId="0" borderId="10" xfId="60" applyNumberFormat="1" applyFill="1" applyBorder="1">
      <alignment/>
      <protection/>
    </xf>
    <xf numFmtId="3" fontId="0" fillId="0" borderId="0" xfId="0" applyNumberFormat="1" applyFont="1" applyFill="1" applyAlignment="1">
      <alignment horizontal="right"/>
    </xf>
    <xf numFmtId="3" fontId="0" fillId="0" borderId="10" xfId="58" applyNumberFormat="1" applyFill="1" applyBorder="1">
      <alignment/>
      <protection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>
      <alignment horizontal="right"/>
    </xf>
    <xf numFmtId="19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1" fillId="0" borderId="14" xfId="0" applyNumberFormat="1" applyFont="1" applyFill="1" applyBorder="1" applyAlignment="1">
      <alignment/>
    </xf>
    <xf numFmtId="3" fontId="0" fillId="0" borderId="0" xfId="58" applyNumberFormat="1" applyFill="1" applyAlignment="1">
      <alignment horizontal="right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37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ill="1" applyBorder="1">
      <alignment/>
      <protection/>
    </xf>
    <xf numFmtId="3" fontId="0" fillId="0" borderId="0" xfId="58" applyNumberFormat="1" applyBorder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e 2" xfId="60"/>
    <cellStyle name="Normale_4_uesto_pere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/WINDOWS/Temporary Internet Files/Content.IE5/5WGFLPOD/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4</xdr:col>
      <xdr:colOff>247650</xdr:colOff>
      <xdr:row>16</xdr:row>
      <xdr:rowOff>66675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52400"/>
          <a:ext cx="26289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Febru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3544</v>
          </cell>
          <cell r="F2">
            <v>6231</v>
          </cell>
        </row>
        <row r="3">
          <cell r="E3">
            <v>4326</v>
          </cell>
          <cell r="F3">
            <v>2668</v>
          </cell>
        </row>
        <row r="4">
          <cell r="E4">
            <v>19685</v>
          </cell>
          <cell r="F4">
            <v>762</v>
          </cell>
        </row>
        <row r="5">
          <cell r="E5">
            <v>17208</v>
          </cell>
          <cell r="F5">
            <v>9261</v>
          </cell>
        </row>
        <row r="6">
          <cell r="E6">
            <v>214821</v>
          </cell>
          <cell r="F6">
            <v>212782</v>
          </cell>
        </row>
        <row r="7">
          <cell r="E7">
            <v>289598</v>
          </cell>
          <cell r="F7">
            <v>356867</v>
          </cell>
        </row>
        <row r="8">
          <cell r="E8">
            <v>65439</v>
          </cell>
          <cell r="F8">
            <v>112127</v>
          </cell>
        </row>
        <row r="9">
          <cell r="E9">
            <v>165904</v>
          </cell>
          <cell r="F9">
            <v>210438</v>
          </cell>
        </row>
        <row r="10">
          <cell r="E10">
            <v>169162</v>
          </cell>
          <cell r="F10">
            <v>158586</v>
          </cell>
        </row>
        <row r="11">
          <cell r="E11">
            <v>2897</v>
          </cell>
          <cell r="F11">
            <v>2325</v>
          </cell>
        </row>
        <row r="13">
          <cell r="E13">
            <v>1315</v>
          </cell>
          <cell r="F13">
            <v>1315</v>
          </cell>
        </row>
        <row r="14">
          <cell r="E14">
            <v>16217</v>
          </cell>
          <cell r="F14">
            <v>21800</v>
          </cell>
        </row>
        <row r="15">
          <cell r="E15">
            <v>724</v>
          </cell>
          <cell r="F15">
            <v>953</v>
          </cell>
        </row>
        <row r="16">
          <cell r="E16">
            <v>762</v>
          </cell>
          <cell r="F16">
            <v>438</v>
          </cell>
        </row>
        <row r="18">
          <cell r="E18">
            <v>97377</v>
          </cell>
          <cell r="F18">
            <v>85067</v>
          </cell>
        </row>
        <row r="19">
          <cell r="E19">
            <v>301375</v>
          </cell>
          <cell r="F19">
            <v>364756</v>
          </cell>
        </row>
        <row r="20">
          <cell r="E20">
            <v>2992</v>
          </cell>
          <cell r="F20">
            <v>3583</v>
          </cell>
        </row>
        <row r="21">
          <cell r="E21">
            <v>381</v>
          </cell>
          <cell r="F21">
            <v>743</v>
          </cell>
        </row>
        <row r="22">
          <cell r="E22">
            <v>2153</v>
          </cell>
          <cell r="F22">
            <v>991</v>
          </cell>
        </row>
        <row r="23">
          <cell r="E23">
            <v>172</v>
          </cell>
          <cell r="F23">
            <v>152</v>
          </cell>
        </row>
        <row r="25">
          <cell r="E25">
            <v>800</v>
          </cell>
          <cell r="F25">
            <v>229</v>
          </cell>
        </row>
        <row r="26">
          <cell r="E26">
            <v>112470</v>
          </cell>
          <cell r="F26">
            <v>123579</v>
          </cell>
        </row>
        <row r="27">
          <cell r="E27">
            <v>1489322</v>
          </cell>
          <cell r="F27">
            <v>1675653</v>
          </cell>
        </row>
        <row r="31">
          <cell r="E31">
            <v>86952.74</v>
          </cell>
          <cell r="F31">
            <v>92473</v>
          </cell>
        </row>
        <row r="32">
          <cell r="E32">
            <v>20891.8</v>
          </cell>
          <cell r="F32">
            <v>13815.1</v>
          </cell>
        </row>
        <row r="33">
          <cell r="E33">
            <v>9107.66</v>
          </cell>
          <cell r="F33">
            <v>11241.32</v>
          </cell>
        </row>
        <row r="34">
          <cell r="E34">
            <v>12.08</v>
          </cell>
          <cell r="F34">
            <v>390.48</v>
          </cell>
        </row>
        <row r="35">
          <cell r="E35">
            <v>38.16</v>
          </cell>
          <cell r="F35">
            <v>0</v>
          </cell>
        </row>
        <row r="36">
          <cell r="E36">
            <v>167.86</v>
          </cell>
          <cell r="F36">
            <v>32.38</v>
          </cell>
        </row>
        <row r="37">
          <cell r="E37">
            <v>43.58</v>
          </cell>
          <cell r="F37">
            <v>134.68</v>
          </cell>
        </row>
        <row r="39">
          <cell r="E39">
            <v>30.36</v>
          </cell>
          <cell r="F39">
            <v>32.68</v>
          </cell>
        </row>
        <row r="40">
          <cell r="E40">
            <v>7434.34</v>
          </cell>
          <cell r="F40">
            <v>2874.78</v>
          </cell>
        </row>
        <row r="41">
          <cell r="E41">
            <v>124678.58000000002</v>
          </cell>
          <cell r="F41">
            <v>120994.42</v>
          </cell>
        </row>
      </sheetData>
      <sheetData sheetId="2">
        <row r="2">
          <cell r="E2">
            <v>78710.15</v>
          </cell>
          <cell r="F2">
            <v>76834</v>
          </cell>
        </row>
        <row r="3">
          <cell r="E3">
            <v>69902</v>
          </cell>
          <cell r="F3">
            <v>105265</v>
          </cell>
        </row>
        <row r="4">
          <cell r="E4">
            <v>37039</v>
          </cell>
          <cell r="F4">
            <v>23534</v>
          </cell>
        </row>
        <row r="5">
          <cell r="E5">
            <v>4809</v>
          </cell>
          <cell r="F5">
            <v>4490</v>
          </cell>
        </row>
        <row r="6">
          <cell r="E6">
            <v>479443</v>
          </cell>
          <cell r="F6">
            <v>554401</v>
          </cell>
        </row>
        <row r="7">
          <cell r="E7">
            <v>246317</v>
          </cell>
          <cell r="F7">
            <v>208602</v>
          </cell>
        </row>
        <row r="8">
          <cell r="E8">
            <v>1020569.5599999998</v>
          </cell>
          <cell r="F8">
            <v>986567</v>
          </cell>
        </row>
        <row r="9">
          <cell r="E9">
            <v>1065000</v>
          </cell>
          <cell r="F9">
            <v>634000</v>
          </cell>
        </row>
        <row r="11">
          <cell r="E11">
            <v>138743.85356012208</v>
          </cell>
          <cell r="F11">
            <v>224870.2848243257</v>
          </cell>
        </row>
        <row r="12">
          <cell r="E12">
            <v>49319</v>
          </cell>
          <cell r="F12">
            <v>46737</v>
          </cell>
        </row>
        <row r="13">
          <cell r="E13">
            <v>99678</v>
          </cell>
          <cell r="F13">
            <v>139212</v>
          </cell>
        </row>
        <row r="14">
          <cell r="E14">
            <v>75391</v>
          </cell>
          <cell r="F14">
            <v>80671</v>
          </cell>
        </row>
        <row r="15">
          <cell r="E15">
            <v>3364921.563560122</v>
          </cell>
          <cell r="F15">
            <v>3085183.2848243257</v>
          </cell>
        </row>
        <row r="19">
          <cell r="E19">
            <v>198117</v>
          </cell>
          <cell r="F19">
            <v>133569</v>
          </cell>
        </row>
        <row r="20">
          <cell r="E20">
            <v>1972</v>
          </cell>
          <cell r="F20">
            <v>1912</v>
          </cell>
        </row>
        <row r="21">
          <cell r="E21">
            <v>69</v>
          </cell>
          <cell r="F21">
            <v>36</v>
          </cell>
        </row>
        <row r="22">
          <cell r="E22">
            <v>7448</v>
          </cell>
          <cell r="F22">
            <v>5396</v>
          </cell>
        </row>
        <row r="23">
          <cell r="E23">
            <v>2355</v>
          </cell>
          <cell r="F23">
            <v>2405</v>
          </cell>
        </row>
        <row r="24">
          <cell r="E24">
            <v>125689.83763913292</v>
          </cell>
          <cell r="F24">
            <v>46230.255580022545</v>
          </cell>
        </row>
        <row r="25">
          <cell r="E25">
            <v>9000</v>
          </cell>
          <cell r="F25">
            <v>1000</v>
          </cell>
        </row>
        <row r="26">
          <cell r="E26">
            <v>0</v>
          </cell>
          <cell r="F26">
            <v>66403</v>
          </cell>
        </row>
        <row r="27">
          <cell r="E27">
            <v>50612.21768660466</v>
          </cell>
          <cell r="F27">
            <v>52814.943703521414</v>
          </cell>
        </row>
        <row r="28">
          <cell r="E28">
            <v>5804</v>
          </cell>
          <cell r="F28">
            <v>6520</v>
          </cell>
        </row>
        <row r="29">
          <cell r="E29">
            <v>177584</v>
          </cell>
          <cell r="F29">
            <v>156918</v>
          </cell>
        </row>
        <row r="30">
          <cell r="E30">
            <v>4714</v>
          </cell>
          <cell r="F30">
            <v>3697</v>
          </cell>
        </row>
        <row r="31">
          <cell r="E31">
            <v>583365.0553257376</v>
          </cell>
          <cell r="F31">
            <v>476901.199283544</v>
          </cell>
        </row>
      </sheetData>
      <sheetData sheetId="3">
        <row r="2">
          <cell r="E2">
            <v>5000</v>
          </cell>
          <cell r="F2">
            <v>5000</v>
          </cell>
        </row>
        <row r="3">
          <cell r="E3">
            <v>6475</v>
          </cell>
          <cell r="F3">
            <v>7793</v>
          </cell>
        </row>
        <row r="4">
          <cell r="E4">
            <v>104659.05</v>
          </cell>
          <cell r="F4">
            <v>120681</v>
          </cell>
        </row>
        <row r="5">
          <cell r="E5">
            <v>21859</v>
          </cell>
          <cell r="F5">
            <v>21385</v>
          </cell>
        </row>
        <row r="6">
          <cell r="E6">
            <v>4213</v>
          </cell>
          <cell r="F6">
            <v>2512</v>
          </cell>
        </row>
        <row r="7">
          <cell r="E7">
            <v>0</v>
          </cell>
          <cell r="F7">
            <v>0</v>
          </cell>
        </row>
        <row r="8">
          <cell r="E8">
            <v>1682</v>
          </cell>
          <cell r="F8">
            <v>2817</v>
          </cell>
        </row>
        <row r="9">
          <cell r="E9">
            <v>153661.5</v>
          </cell>
          <cell r="F9">
            <v>135853</v>
          </cell>
        </row>
        <row r="10">
          <cell r="E10">
            <v>78412.1</v>
          </cell>
          <cell r="F10">
            <v>107443</v>
          </cell>
        </row>
        <row r="11">
          <cell r="E11">
            <v>129260.50151161868</v>
          </cell>
          <cell r="F11">
            <v>129550.46636920236</v>
          </cell>
        </row>
        <row r="12">
          <cell r="E12">
            <v>325568.4958019295</v>
          </cell>
          <cell r="F12">
            <v>311511.41429390054</v>
          </cell>
        </row>
        <row r="13">
          <cell r="E13">
            <v>65500</v>
          </cell>
          <cell r="F13">
            <v>65252</v>
          </cell>
        </row>
        <row r="14">
          <cell r="E14">
            <v>767541.7914071782</v>
          </cell>
          <cell r="F14">
            <v>933563.1325283014</v>
          </cell>
        </row>
        <row r="15">
          <cell r="E15">
            <v>149623.0574996432</v>
          </cell>
          <cell r="F15">
            <v>128572.33220510103</v>
          </cell>
        </row>
        <row r="16">
          <cell r="E16">
            <v>768</v>
          </cell>
          <cell r="F16">
            <v>52</v>
          </cell>
        </row>
        <row r="17">
          <cell r="E17">
            <v>218561.7</v>
          </cell>
          <cell r="F17">
            <v>144433</v>
          </cell>
        </row>
        <row r="18">
          <cell r="E18">
            <v>176584.35</v>
          </cell>
          <cell r="F18">
            <v>159040</v>
          </cell>
        </row>
        <row r="19">
          <cell r="E19">
            <v>39276</v>
          </cell>
          <cell r="F19">
            <v>58557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14610.84</v>
          </cell>
          <cell r="F22">
            <v>11235</v>
          </cell>
        </row>
        <row r="23">
          <cell r="E23">
            <v>69157</v>
          </cell>
          <cell r="F23">
            <v>46127</v>
          </cell>
        </row>
        <row r="24">
          <cell r="E24">
            <v>163577.52733975253</v>
          </cell>
          <cell r="F24">
            <v>143533.20942782034</v>
          </cell>
        </row>
        <row r="25">
          <cell r="E25">
            <v>161504.5</v>
          </cell>
          <cell r="F25">
            <v>115541</v>
          </cell>
        </row>
        <row r="26">
          <cell r="E26">
            <v>31522.5</v>
          </cell>
          <cell r="F26">
            <v>22946</v>
          </cell>
        </row>
        <row r="27">
          <cell r="E27">
            <v>101830</v>
          </cell>
          <cell r="F27">
            <v>80499</v>
          </cell>
        </row>
        <row r="28">
          <cell r="E28">
            <v>0</v>
          </cell>
          <cell r="F28">
            <v>0</v>
          </cell>
        </row>
        <row r="29">
          <cell r="E29">
            <v>384</v>
          </cell>
          <cell r="F29">
            <v>140</v>
          </cell>
        </row>
        <row r="30">
          <cell r="E30">
            <v>114737.9</v>
          </cell>
          <cell r="F30">
            <v>90726</v>
          </cell>
        </row>
        <row r="31">
          <cell r="E31">
            <v>458951.75</v>
          </cell>
          <cell r="F31">
            <v>240420.72999999998</v>
          </cell>
        </row>
        <row r="32">
          <cell r="E32">
            <v>3364921.563560122</v>
          </cell>
          <cell r="F32">
            <v>3085183.2848243257</v>
          </cell>
        </row>
        <row r="36">
          <cell r="E36">
            <v>74038.55425601415</v>
          </cell>
          <cell r="F36">
            <v>24378.061257814883</v>
          </cell>
        </row>
        <row r="37">
          <cell r="E37">
            <v>2710.024349114055</v>
          </cell>
          <cell r="F37">
            <v>2997.0837428028076</v>
          </cell>
        </row>
        <row r="38">
          <cell r="E38">
            <v>4970.688846851756</v>
          </cell>
          <cell r="F38">
            <v>4010.653790070754</v>
          </cell>
        </row>
        <row r="39">
          <cell r="E39">
            <v>430073.82331281435</v>
          </cell>
          <cell r="F39">
            <v>338300.5748709353</v>
          </cell>
        </row>
        <row r="40">
          <cell r="E40">
            <v>12761.723658086765</v>
          </cell>
          <cell r="F40">
            <v>7717.524609966309</v>
          </cell>
        </row>
        <row r="41">
          <cell r="E41">
            <v>18111.793643596113</v>
          </cell>
          <cell r="F41">
            <v>4735.9795352877745</v>
          </cell>
        </row>
        <row r="42">
          <cell r="E42">
            <v>0</v>
          </cell>
          <cell r="F42">
            <v>66403</v>
          </cell>
        </row>
        <row r="43">
          <cell r="E43">
            <v>40698.447259260385</v>
          </cell>
          <cell r="F43">
            <v>28358.32147666614</v>
          </cell>
        </row>
        <row r="44">
          <cell r="E44">
            <v>583365.0553257376</v>
          </cell>
          <cell r="F44">
            <v>476901.199283544</v>
          </cell>
        </row>
      </sheetData>
      <sheetData sheetId="4">
        <row r="2">
          <cell r="E2">
            <v>618.1</v>
          </cell>
          <cell r="F2">
            <v>500</v>
          </cell>
        </row>
        <row r="3">
          <cell r="E3">
            <v>0</v>
          </cell>
          <cell r="F3">
            <v>0</v>
          </cell>
        </row>
        <row r="4">
          <cell r="E4">
            <v>6410.25</v>
          </cell>
          <cell r="F4">
            <v>7623</v>
          </cell>
        </row>
        <row r="5">
          <cell r="E5">
            <v>1504.1</v>
          </cell>
          <cell r="F5">
            <v>1790</v>
          </cell>
        </row>
        <row r="6">
          <cell r="E6">
            <v>10670.9</v>
          </cell>
          <cell r="F6">
            <v>7733</v>
          </cell>
        </row>
        <row r="7">
          <cell r="E7">
            <v>1628</v>
          </cell>
          <cell r="F7">
            <v>2103</v>
          </cell>
        </row>
        <row r="8">
          <cell r="E8">
            <v>15617.35</v>
          </cell>
          <cell r="F8">
            <v>16558</v>
          </cell>
        </row>
        <row r="10">
          <cell r="E10">
            <v>28565.5</v>
          </cell>
          <cell r="F10">
            <v>24029</v>
          </cell>
        </row>
        <row r="11">
          <cell r="E11">
            <v>280.8</v>
          </cell>
          <cell r="F11">
            <v>270</v>
          </cell>
        </row>
        <row r="12">
          <cell r="E12">
            <v>5197.7</v>
          </cell>
          <cell r="F12">
            <v>5597</v>
          </cell>
        </row>
        <row r="13">
          <cell r="E13">
            <v>2150.75</v>
          </cell>
          <cell r="F13">
            <v>4445</v>
          </cell>
        </row>
        <row r="14">
          <cell r="E14">
            <v>0</v>
          </cell>
          <cell r="F14">
            <v>0</v>
          </cell>
        </row>
        <row r="15">
          <cell r="E15">
            <v>278.05</v>
          </cell>
          <cell r="F15">
            <v>190</v>
          </cell>
        </row>
        <row r="16">
          <cell r="E16">
            <v>730.3000000000001</v>
          </cell>
          <cell r="F16">
            <v>842</v>
          </cell>
        </row>
        <row r="17">
          <cell r="E17">
            <v>1628.5</v>
          </cell>
          <cell r="F17">
            <v>1930</v>
          </cell>
        </row>
        <row r="18">
          <cell r="E18">
            <v>33.8</v>
          </cell>
          <cell r="F18">
            <v>0</v>
          </cell>
        </row>
        <row r="19">
          <cell r="E19">
            <v>714.4000000000001</v>
          </cell>
          <cell r="F19">
            <v>1609</v>
          </cell>
        </row>
        <row r="20">
          <cell r="E20">
            <v>2681.65</v>
          </cell>
          <cell r="F20">
            <v>1615</v>
          </cell>
        </row>
        <row r="21">
          <cell r="E21">
            <v>78710.15</v>
          </cell>
          <cell r="F21">
            <v>76834</v>
          </cell>
        </row>
      </sheetData>
      <sheetData sheetId="5">
        <row r="2">
          <cell r="E2">
            <v>2505</v>
          </cell>
          <cell r="F2">
            <v>198</v>
          </cell>
        </row>
        <row r="4">
          <cell r="E4">
            <v>8</v>
          </cell>
          <cell r="F4">
            <v>304</v>
          </cell>
        </row>
        <row r="6">
          <cell r="E6">
            <v>6957</v>
          </cell>
          <cell r="F6">
            <v>15793</v>
          </cell>
        </row>
        <row r="7">
          <cell r="E7">
            <v>30936</v>
          </cell>
          <cell r="F7">
            <v>48958</v>
          </cell>
        </row>
        <row r="8">
          <cell r="E8">
            <v>11122</v>
          </cell>
          <cell r="F8">
            <v>31096</v>
          </cell>
        </row>
        <row r="9">
          <cell r="E9">
            <v>18374</v>
          </cell>
          <cell r="F9">
            <v>8916</v>
          </cell>
        </row>
        <row r="10">
          <cell r="E10">
            <v>69902</v>
          </cell>
          <cell r="F10">
            <v>105265</v>
          </cell>
        </row>
        <row r="15">
          <cell r="E15">
            <v>192076</v>
          </cell>
          <cell r="F15">
            <v>132357</v>
          </cell>
        </row>
        <row r="16">
          <cell r="E16">
            <v>4670</v>
          </cell>
          <cell r="F16">
            <v>287</v>
          </cell>
        </row>
        <row r="17">
          <cell r="E17">
            <v>193</v>
          </cell>
          <cell r="F17">
            <v>0</v>
          </cell>
        </row>
        <row r="18">
          <cell r="E18">
            <v>1178</v>
          </cell>
          <cell r="F18">
            <v>925</v>
          </cell>
        </row>
        <row r="19">
          <cell r="E19">
            <v>198117</v>
          </cell>
          <cell r="F19">
            <v>133569</v>
          </cell>
        </row>
      </sheetData>
      <sheetData sheetId="6">
        <row r="2">
          <cell r="E2">
            <v>3916</v>
          </cell>
          <cell r="F2">
            <v>2054</v>
          </cell>
        </row>
        <row r="3">
          <cell r="E3">
            <v>4155</v>
          </cell>
          <cell r="F3">
            <v>2333</v>
          </cell>
        </row>
        <row r="4">
          <cell r="E4">
            <v>280</v>
          </cell>
          <cell r="F4">
            <v>148</v>
          </cell>
        </row>
        <row r="5">
          <cell r="E5">
            <v>10520</v>
          </cell>
          <cell r="F5">
            <v>9742</v>
          </cell>
        </row>
        <row r="6">
          <cell r="E6">
            <v>6071</v>
          </cell>
          <cell r="F6">
            <v>3483</v>
          </cell>
        </row>
        <row r="7">
          <cell r="E7">
            <v>5595</v>
          </cell>
          <cell r="F7">
            <v>3104</v>
          </cell>
        </row>
        <row r="8">
          <cell r="E8">
            <v>1326</v>
          </cell>
          <cell r="F8">
            <v>868</v>
          </cell>
        </row>
        <row r="9">
          <cell r="E9">
            <v>1413</v>
          </cell>
          <cell r="F9">
            <v>452</v>
          </cell>
        </row>
        <row r="10">
          <cell r="E10">
            <v>182</v>
          </cell>
          <cell r="F10">
            <v>40</v>
          </cell>
        </row>
        <row r="11">
          <cell r="E11">
            <v>3581</v>
          </cell>
          <cell r="F11">
            <v>1310</v>
          </cell>
        </row>
        <row r="12">
          <cell r="E12">
            <v>37039</v>
          </cell>
          <cell r="F12">
            <v>23534</v>
          </cell>
        </row>
        <row r="16">
          <cell r="E16">
            <v>1188</v>
          </cell>
          <cell r="F16">
            <v>1680</v>
          </cell>
        </row>
        <row r="17">
          <cell r="E17">
            <v>0</v>
          </cell>
          <cell r="F17">
            <v>0</v>
          </cell>
        </row>
        <row r="18">
          <cell r="E18">
            <v>196</v>
          </cell>
          <cell r="F18">
            <v>100</v>
          </cell>
        </row>
        <row r="19">
          <cell r="E19">
            <v>531</v>
          </cell>
          <cell r="F19">
            <v>100</v>
          </cell>
        </row>
        <row r="20">
          <cell r="E20">
            <v>57</v>
          </cell>
          <cell r="F20">
            <v>32</v>
          </cell>
        </row>
        <row r="21">
          <cell r="E21">
            <v>1972</v>
          </cell>
          <cell r="F21">
            <v>1912</v>
          </cell>
        </row>
      </sheetData>
      <sheetData sheetId="7">
        <row r="3">
          <cell r="F3">
            <v>328</v>
          </cell>
        </row>
        <row r="4">
          <cell r="F4">
            <v>0</v>
          </cell>
        </row>
        <row r="5">
          <cell r="E5">
            <v>1937</v>
          </cell>
          <cell r="F5">
            <v>1495</v>
          </cell>
        </row>
        <row r="6">
          <cell r="F6">
            <v>5</v>
          </cell>
        </row>
        <row r="8">
          <cell r="E8">
            <v>80</v>
          </cell>
          <cell r="F8">
            <v>104</v>
          </cell>
        </row>
        <row r="9">
          <cell r="F9">
            <v>4</v>
          </cell>
        </row>
        <row r="11">
          <cell r="F11">
            <v>15</v>
          </cell>
        </row>
        <row r="12">
          <cell r="F12">
            <v>0</v>
          </cell>
        </row>
        <row r="13">
          <cell r="E13">
            <v>28</v>
          </cell>
        </row>
        <row r="14">
          <cell r="E14">
            <v>1472</v>
          </cell>
          <cell r="F14">
            <v>950</v>
          </cell>
        </row>
        <row r="17">
          <cell r="F17">
            <v>0</v>
          </cell>
        </row>
        <row r="18">
          <cell r="E18">
            <v>1067</v>
          </cell>
          <cell r="F18">
            <v>1277</v>
          </cell>
        </row>
        <row r="19">
          <cell r="E19">
            <v>225</v>
          </cell>
          <cell r="F19">
            <v>312</v>
          </cell>
        </row>
        <row r="20">
          <cell r="E20">
            <v>4809</v>
          </cell>
          <cell r="F20">
            <v>4490</v>
          </cell>
        </row>
        <row r="24">
          <cell r="E24">
            <v>54</v>
          </cell>
          <cell r="F24">
            <v>10</v>
          </cell>
        </row>
        <row r="26">
          <cell r="E26">
            <v>15</v>
          </cell>
          <cell r="F26">
            <v>26</v>
          </cell>
        </row>
        <row r="27">
          <cell r="E27">
            <v>69</v>
          </cell>
          <cell r="F27">
            <v>36</v>
          </cell>
        </row>
      </sheetData>
      <sheetData sheetId="8">
        <row r="2">
          <cell r="E2">
            <v>6586</v>
          </cell>
          <cell r="F2">
            <v>5610</v>
          </cell>
        </row>
        <row r="3">
          <cell r="E3">
            <v>18228</v>
          </cell>
          <cell r="F3">
            <v>21632</v>
          </cell>
        </row>
        <row r="4">
          <cell r="E4">
            <v>754</v>
          </cell>
          <cell r="F4">
            <v>1129</v>
          </cell>
        </row>
        <row r="5">
          <cell r="E5">
            <v>15149</v>
          </cell>
          <cell r="F5">
            <v>24005</v>
          </cell>
        </row>
        <row r="7">
          <cell r="E7">
            <v>3349</v>
          </cell>
          <cell r="F7">
            <v>4082</v>
          </cell>
        </row>
        <row r="8">
          <cell r="E8">
            <v>86216</v>
          </cell>
          <cell r="F8">
            <v>82092</v>
          </cell>
        </row>
        <row r="9">
          <cell r="E9">
            <v>738</v>
          </cell>
          <cell r="F9">
            <v>1172</v>
          </cell>
        </row>
        <row r="10">
          <cell r="E10">
            <v>18119</v>
          </cell>
          <cell r="F10">
            <v>23962</v>
          </cell>
        </row>
        <row r="11">
          <cell r="E11">
            <v>78650</v>
          </cell>
          <cell r="F11">
            <v>72774</v>
          </cell>
        </row>
        <row r="12">
          <cell r="E12">
            <v>115728</v>
          </cell>
          <cell r="F12">
            <v>170726</v>
          </cell>
        </row>
        <row r="13">
          <cell r="E13">
            <v>2501</v>
          </cell>
          <cell r="F13">
            <v>2787</v>
          </cell>
        </row>
        <row r="14">
          <cell r="E14">
            <v>53770</v>
          </cell>
          <cell r="F14">
            <v>54084</v>
          </cell>
        </row>
        <row r="15">
          <cell r="E15">
            <v>880</v>
          </cell>
          <cell r="F15">
            <v>5486</v>
          </cell>
        </row>
        <row r="16">
          <cell r="E16">
            <v>972</v>
          </cell>
          <cell r="F16">
            <v>1193</v>
          </cell>
        </row>
        <row r="17">
          <cell r="E17">
            <v>15610</v>
          </cell>
          <cell r="F17">
            <v>17752</v>
          </cell>
        </row>
        <row r="18">
          <cell r="E18">
            <v>10906</v>
          </cell>
          <cell r="F18">
            <v>12303</v>
          </cell>
        </row>
        <row r="19">
          <cell r="E19">
            <v>200</v>
          </cell>
          <cell r="F19">
            <v>329</v>
          </cell>
        </row>
        <row r="20">
          <cell r="E20">
            <v>11168</v>
          </cell>
          <cell r="F20">
            <v>11479</v>
          </cell>
        </row>
        <row r="21">
          <cell r="E21">
            <v>12805</v>
          </cell>
          <cell r="F21">
            <v>18614</v>
          </cell>
        </row>
        <row r="22">
          <cell r="E22">
            <v>573</v>
          </cell>
          <cell r="F22">
            <v>1357</v>
          </cell>
        </row>
        <row r="23">
          <cell r="E23">
            <v>9154</v>
          </cell>
          <cell r="F23">
            <v>10172</v>
          </cell>
        </row>
        <row r="24">
          <cell r="E24">
            <v>1860</v>
          </cell>
          <cell r="F24">
            <v>2381</v>
          </cell>
        </row>
        <row r="25">
          <cell r="E25">
            <v>15527</v>
          </cell>
          <cell r="F25">
            <v>9280</v>
          </cell>
        </row>
        <row r="26">
          <cell r="E26">
            <v>479443</v>
          </cell>
          <cell r="F26">
            <v>554401</v>
          </cell>
        </row>
        <row r="30">
          <cell r="E30">
            <v>2784</v>
          </cell>
          <cell r="F30">
            <v>1225</v>
          </cell>
        </row>
        <row r="32">
          <cell r="E32">
            <v>2869</v>
          </cell>
          <cell r="F32">
            <v>2751</v>
          </cell>
        </row>
        <row r="33">
          <cell r="E33">
            <v>590</v>
          </cell>
          <cell r="F33">
            <v>485</v>
          </cell>
        </row>
        <row r="35">
          <cell r="E35">
            <v>578</v>
          </cell>
          <cell r="F35">
            <v>630</v>
          </cell>
        </row>
        <row r="36">
          <cell r="E36">
            <v>60</v>
          </cell>
          <cell r="F36">
            <v>92</v>
          </cell>
        </row>
        <row r="37">
          <cell r="E37">
            <v>567</v>
          </cell>
          <cell r="F37">
            <v>213</v>
          </cell>
        </row>
        <row r="38">
          <cell r="E38">
            <v>7448</v>
          </cell>
          <cell r="F38">
            <v>5396</v>
          </cell>
        </row>
      </sheetData>
      <sheetData sheetId="9">
        <row r="2">
          <cell r="E2">
            <v>1047</v>
          </cell>
          <cell r="F2">
            <v>3528</v>
          </cell>
        </row>
        <row r="3">
          <cell r="E3">
            <v>28065</v>
          </cell>
          <cell r="F3">
            <v>26844</v>
          </cell>
        </row>
        <row r="4">
          <cell r="E4">
            <v>0</v>
          </cell>
          <cell r="F4">
            <v>0</v>
          </cell>
        </row>
        <row r="5">
          <cell r="E5">
            <v>44162</v>
          </cell>
          <cell r="F5">
            <v>45013</v>
          </cell>
        </row>
        <row r="6">
          <cell r="E6">
            <v>6948</v>
          </cell>
          <cell r="F6">
            <v>6290</v>
          </cell>
        </row>
        <row r="7">
          <cell r="E7">
            <v>21622</v>
          </cell>
          <cell r="F7">
            <v>13660</v>
          </cell>
        </row>
        <row r="8">
          <cell r="E8">
            <v>140</v>
          </cell>
          <cell r="F8">
            <v>0</v>
          </cell>
        </row>
        <row r="9">
          <cell r="E9">
            <v>3672</v>
          </cell>
          <cell r="F9">
            <v>3042</v>
          </cell>
        </row>
        <row r="10">
          <cell r="E10">
            <v>768</v>
          </cell>
          <cell r="F10">
            <v>52</v>
          </cell>
        </row>
        <row r="11">
          <cell r="E11">
            <v>5849</v>
          </cell>
          <cell r="F11">
            <v>3893</v>
          </cell>
        </row>
        <row r="12">
          <cell r="E12">
            <v>0</v>
          </cell>
          <cell r="F12">
            <v>0</v>
          </cell>
        </row>
        <row r="13">
          <cell r="E13">
            <v>9969</v>
          </cell>
          <cell r="F13">
            <v>12572</v>
          </cell>
        </row>
        <row r="14">
          <cell r="E14">
            <v>26682</v>
          </cell>
          <cell r="F14">
            <v>26511</v>
          </cell>
        </row>
        <row r="15">
          <cell r="E15">
            <v>7046</v>
          </cell>
          <cell r="F15">
            <v>6879</v>
          </cell>
        </row>
        <row r="16">
          <cell r="E16">
            <v>49876</v>
          </cell>
          <cell r="F16">
            <v>48611</v>
          </cell>
        </row>
        <row r="17">
          <cell r="E17">
            <v>417</v>
          </cell>
          <cell r="F17">
            <v>47</v>
          </cell>
        </row>
        <row r="18">
          <cell r="E18">
            <v>1427</v>
          </cell>
          <cell r="F18">
            <v>1152</v>
          </cell>
        </row>
        <row r="19">
          <cell r="E19">
            <v>35816</v>
          </cell>
          <cell r="F19">
            <v>6645</v>
          </cell>
        </row>
        <row r="20">
          <cell r="E20">
            <v>2811</v>
          </cell>
          <cell r="F20">
            <v>3863</v>
          </cell>
        </row>
        <row r="21">
          <cell r="E21">
            <v>246317</v>
          </cell>
          <cell r="F21">
            <v>208602</v>
          </cell>
        </row>
        <row r="25">
          <cell r="E25">
            <v>2355</v>
          </cell>
          <cell r="F25">
            <v>2405</v>
          </cell>
        </row>
        <row r="26">
          <cell r="E26">
            <v>2355</v>
          </cell>
          <cell r="F26">
            <v>2405</v>
          </cell>
        </row>
      </sheetData>
      <sheetData sheetId="10">
        <row r="2">
          <cell r="F2">
            <v>5000</v>
          </cell>
        </row>
        <row r="3">
          <cell r="F3">
            <v>37613</v>
          </cell>
        </row>
        <row r="4">
          <cell r="F4">
            <v>53761</v>
          </cell>
        </row>
        <row r="6">
          <cell r="F6">
            <v>76863</v>
          </cell>
        </row>
        <row r="7">
          <cell r="F7">
            <v>83709</v>
          </cell>
        </row>
        <row r="9">
          <cell r="F9">
            <v>463282</v>
          </cell>
        </row>
        <row r="10">
          <cell r="F10">
            <v>53748</v>
          </cell>
        </row>
        <row r="12">
          <cell r="F12">
            <v>4180</v>
          </cell>
        </row>
        <row r="14">
          <cell r="F14">
            <v>11235</v>
          </cell>
        </row>
        <row r="15">
          <cell r="F15">
            <v>31318</v>
          </cell>
        </row>
        <row r="16">
          <cell r="F16">
            <v>101154</v>
          </cell>
        </row>
        <row r="17">
          <cell r="F17">
            <v>11138</v>
          </cell>
        </row>
        <row r="19">
          <cell r="F19">
            <v>53566</v>
          </cell>
        </row>
        <row r="20">
          <cell r="F20">
            <v>986567</v>
          </cell>
        </row>
        <row r="24">
          <cell r="F24">
            <v>24378.061257814883</v>
          </cell>
        </row>
        <row r="25">
          <cell r="F25">
            <v>9605.0178002344</v>
          </cell>
        </row>
        <row r="26">
          <cell r="F26">
            <v>1928.5246099663095</v>
          </cell>
        </row>
        <row r="27">
          <cell r="F27">
            <v>4735.9795352877745</v>
          </cell>
        </row>
        <row r="28">
          <cell r="F28">
            <v>5582.67237671917</v>
          </cell>
        </row>
        <row r="29">
          <cell r="F29">
            <v>46230.255580022545</v>
          </cell>
        </row>
      </sheetData>
      <sheetData sheetId="11">
        <row r="5">
          <cell r="E5">
            <v>80000</v>
          </cell>
          <cell r="F5">
            <v>70000</v>
          </cell>
        </row>
        <row r="6">
          <cell r="E6">
            <v>65000</v>
          </cell>
          <cell r="F6">
            <v>65000</v>
          </cell>
        </row>
        <row r="7">
          <cell r="E7">
            <v>100000</v>
          </cell>
          <cell r="F7">
            <v>90000</v>
          </cell>
        </row>
        <row r="8">
          <cell r="E8">
            <v>200000</v>
          </cell>
          <cell r="F8">
            <v>130000</v>
          </cell>
        </row>
        <row r="9">
          <cell r="E9">
            <v>80000</v>
          </cell>
          <cell r="F9">
            <v>30000</v>
          </cell>
        </row>
        <row r="10">
          <cell r="E10">
            <v>90000</v>
          </cell>
          <cell r="F10">
            <v>20000</v>
          </cell>
        </row>
        <row r="12">
          <cell r="E12">
            <v>25000</v>
          </cell>
          <cell r="F12">
            <v>7000</v>
          </cell>
        </row>
        <row r="13">
          <cell r="E13">
            <v>15000</v>
          </cell>
          <cell r="F13">
            <v>7000</v>
          </cell>
        </row>
        <row r="14">
          <cell r="E14">
            <v>110000</v>
          </cell>
          <cell r="F14">
            <v>65000</v>
          </cell>
        </row>
        <row r="15">
          <cell r="E15">
            <v>100000</v>
          </cell>
          <cell r="F15">
            <v>80000</v>
          </cell>
        </row>
        <row r="17">
          <cell r="E17">
            <v>200000</v>
          </cell>
          <cell r="F17">
            <v>70000</v>
          </cell>
        </row>
        <row r="18">
          <cell r="E18">
            <v>1065000</v>
          </cell>
          <cell r="F18">
            <v>634000</v>
          </cell>
        </row>
        <row r="22">
          <cell r="E22">
            <v>9000</v>
          </cell>
          <cell r="F22">
            <v>1000</v>
          </cell>
        </row>
        <row r="24">
          <cell r="F24">
            <v>0</v>
          </cell>
        </row>
        <row r="25">
          <cell r="E25">
            <v>9000</v>
          </cell>
          <cell r="F25">
            <v>1000</v>
          </cell>
        </row>
      </sheetData>
      <sheetData sheetId="12">
        <row r="13">
          <cell r="F13">
            <v>66403</v>
          </cell>
        </row>
        <row r="14">
          <cell r="F14">
            <v>66403</v>
          </cell>
        </row>
      </sheetData>
      <sheetData sheetId="13">
        <row r="2">
          <cell r="E2">
            <v>15812.901511618677</v>
          </cell>
          <cell r="F2">
            <v>20327.466369202353</v>
          </cell>
        </row>
        <row r="3">
          <cell r="E3">
            <v>7752.215801929476</v>
          </cell>
          <cell r="F3">
            <v>7306.414293900545</v>
          </cell>
        </row>
        <row r="4">
          <cell r="E4">
            <v>74698.15140717816</v>
          </cell>
          <cell r="F4">
            <v>142176.13252830142</v>
          </cell>
        </row>
        <row r="5">
          <cell r="E5">
            <v>14128.387499643224</v>
          </cell>
          <cell r="F5">
            <v>20241.332205101025</v>
          </cell>
        </row>
        <row r="6">
          <cell r="E6">
            <v>10294.447339752534</v>
          </cell>
          <cell r="F6">
            <v>15897.209427820344</v>
          </cell>
        </row>
        <row r="7">
          <cell r="E7">
            <v>16057.75</v>
          </cell>
          <cell r="F7">
            <v>18921.73</v>
          </cell>
        </row>
        <row r="8">
          <cell r="E8">
            <v>138743.85356012208</v>
          </cell>
          <cell r="F8">
            <v>224870.2848243257</v>
          </cell>
        </row>
        <row r="12">
          <cell r="E12">
            <v>2710.024349114055</v>
          </cell>
          <cell r="F12">
            <v>2997.0837428028076</v>
          </cell>
        </row>
        <row r="13">
          <cell r="E13">
            <v>4970.688846851756</v>
          </cell>
          <cell r="F13">
            <v>4010.653790070754</v>
          </cell>
        </row>
        <row r="14">
          <cell r="E14">
            <v>41066.33996900604</v>
          </cell>
          <cell r="F14">
            <v>43326.557070700874</v>
          </cell>
        </row>
        <row r="15">
          <cell r="F15">
            <v>1</v>
          </cell>
        </row>
        <row r="16">
          <cell r="E16">
            <v>1865.1645216328097</v>
          </cell>
          <cell r="F16">
            <v>2479.6490999469734</v>
          </cell>
        </row>
        <row r="17">
          <cell r="E17">
            <v>50612.21768660466</v>
          </cell>
          <cell r="F17">
            <v>52814.943703521414</v>
          </cell>
        </row>
      </sheetData>
      <sheetData sheetId="14">
        <row r="2">
          <cell r="E2">
            <v>80</v>
          </cell>
          <cell r="F2">
            <v>17</v>
          </cell>
        </row>
        <row r="3">
          <cell r="E3">
            <v>6937</v>
          </cell>
          <cell r="F3">
            <v>6224</v>
          </cell>
        </row>
        <row r="4">
          <cell r="E4">
            <v>0</v>
          </cell>
          <cell r="F4">
            <v>4</v>
          </cell>
        </row>
        <row r="5">
          <cell r="E5">
            <v>0</v>
          </cell>
          <cell r="F5">
            <v>0</v>
          </cell>
        </row>
        <row r="6">
          <cell r="E6">
            <v>17686</v>
          </cell>
          <cell r="F6">
            <v>16618</v>
          </cell>
        </row>
        <row r="7">
          <cell r="E7">
            <v>57</v>
          </cell>
          <cell r="F7">
            <v>48</v>
          </cell>
        </row>
        <row r="8">
          <cell r="E8">
            <v>8877</v>
          </cell>
          <cell r="F8">
            <v>10201</v>
          </cell>
        </row>
        <row r="9">
          <cell r="E9">
            <v>196</v>
          </cell>
          <cell r="F9">
            <v>225</v>
          </cell>
        </row>
        <row r="10">
          <cell r="E10">
            <v>472</v>
          </cell>
          <cell r="F10">
            <v>252</v>
          </cell>
        </row>
        <row r="11">
          <cell r="E11">
            <v>1252</v>
          </cell>
          <cell r="F11">
            <v>2145</v>
          </cell>
        </row>
        <row r="12">
          <cell r="E12">
            <v>146</v>
          </cell>
          <cell r="F12">
            <v>0</v>
          </cell>
        </row>
        <row r="13">
          <cell r="E13">
            <v>158</v>
          </cell>
          <cell r="F13">
            <v>43</v>
          </cell>
        </row>
        <row r="14">
          <cell r="E14">
            <v>449</v>
          </cell>
          <cell r="F14">
            <v>88</v>
          </cell>
        </row>
        <row r="15">
          <cell r="E15">
            <v>49</v>
          </cell>
          <cell r="F15">
            <v>0</v>
          </cell>
        </row>
        <row r="16">
          <cell r="E16">
            <v>238</v>
          </cell>
          <cell r="F16">
            <v>51</v>
          </cell>
        </row>
        <row r="17">
          <cell r="E17">
            <v>9543</v>
          </cell>
          <cell r="F17">
            <v>8718</v>
          </cell>
        </row>
        <row r="18">
          <cell r="E18">
            <v>3179</v>
          </cell>
          <cell r="F18">
            <v>2103</v>
          </cell>
        </row>
        <row r="19">
          <cell r="E19">
            <v>49319</v>
          </cell>
          <cell r="F19">
            <v>46737</v>
          </cell>
        </row>
        <row r="23">
          <cell r="E23">
            <v>4080</v>
          </cell>
          <cell r="F23">
            <v>4628</v>
          </cell>
        </row>
        <row r="24">
          <cell r="E24">
            <v>576</v>
          </cell>
          <cell r="F24">
            <v>1083</v>
          </cell>
        </row>
        <row r="25">
          <cell r="E25">
            <v>815</v>
          </cell>
          <cell r="F25">
            <v>532</v>
          </cell>
        </row>
        <row r="26">
          <cell r="E26">
            <v>0</v>
          </cell>
          <cell r="F26">
            <v>25</v>
          </cell>
        </row>
        <row r="27">
          <cell r="E27">
            <v>333</v>
          </cell>
          <cell r="F27">
            <v>252</v>
          </cell>
        </row>
        <row r="28">
          <cell r="E28">
            <v>5804</v>
          </cell>
          <cell r="F28">
            <v>6520</v>
          </cell>
        </row>
      </sheetData>
      <sheetData sheetId="15">
        <row r="2">
          <cell r="E2">
            <v>2089</v>
          </cell>
          <cell r="F2">
            <v>2921</v>
          </cell>
        </row>
        <row r="3">
          <cell r="E3">
            <v>30063</v>
          </cell>
          <cell r="F3">
            <v>57669</v>
          </cell>
        </row>
        <row r="4">
          <cell r="E4">
            <v>3515</v>
          </cell>
          <cell r="F4">
            <v>4572</v>
          </cell>
        </row>
        <row r="5">
          <cell r="E5">
            <v>33730</v>
          </cell>
          <cell r="F5">
            <v>41183</v>
          </cell>
        </row>
        <row r="6">
          <cell r="E6">
            <v>23705</v>
          </cell>
          <cell r="F6">
            <v>25959</v>
          </cell>
        </row>
        <row r="7">
          <cell r="E7">
            <v>6576</v>
          </cell>
          <cell r="F7">
            <v>6908</v>
          </cell>
        </row>
        <row r="8">
          <cell r="E8">
            <v>99678</v>
          </cell>
          <cell r="F8">
            <v>139212</v>
          </cell>
        </row>
        <row r="12">
          <cell r="E12">
            <v>161943</v>
          </cell>
          <cell r="F12">
            <v>143061</v>
          </cell>
        </row>
        <row r="13">
          <cell r="E13">
            <v>4001</v>
          </cell>
          <cell r="F13">
            <v>4857</v>
          </cell>
        </row>
        <row r="14">
          <cell r="E14">
            <v>11640</v>
          </cell>
          <cell r="F14">
            <v>9000</v>
          </cell>
        </row>
        <row r="15">
          <cell r="E15">
            <v>177584</v>
          </cell>
          <cell r="F15">
            <v>156918</v>
          </cell>
        </row>
      </sheetData>
      <sheetData sheetId="16">
        <row r="2">
          <cell r="E2">
            <v>13579</v>
          </cell>
          <cell r="F2">
            <v>16318</v>
          </cell>
        </row>
        <row r="3">
          <cell r="E3">
            <v>21859</v>
          </cell>
          <cell r="F3">
            <v>21385</v>
          </cell>
        </row>
        <row r="4">
          <cell r="E4">
            <v>4213</v>
          </cell>
          <cell r="F4">
            <v>2512</v>
          </cell>
        </row>
        <row r="5">
          <cell r="E5">
            <v>1682</v>
          </cell>
          <cell r="F5">
            <v>2813</v>
          </cell>
        </row>
        <row r="6">
          <cell r="E6">
            <v>26916</v>
          </cell>
          <cell r="F6">
            <v>28553</v>
          </cell>
        </row>
        <row r="7">
          <cell r="F7">
            <v>150</v>
          </cell>
        </row>
        <row r="9">
          <cell r="E9">
            <v>202</v>
          </cell>
          <cell r="F9">
            <v>100</v>
          </cell>
        </row>
        <row r="10">
          <cell r="E10">
            <v>6499</v>
          </cell>
          <cell r="F10">
            <v>6378</v>
          </cell>
        </row>
        <row r="11">
          <cell r="E11">
            <v>441</v>
          </cell>
          <cell r="F11">
            <v>2462</v>
          </cell>
        </row>
        <row r="12">
          <cell r="E12">
            <v>75391</v>
          </cell>
          <cell r="F12">
            <v>80671</v>
          </cell>
        </row>
        <row r="16">
          <cell r="E16">
            <v>4100</v>
          </cell>
          <cell r="F16">
            <v>3427</v>
          </cell>
        </row>
        <row r="17">
          <cell r="E17">
            <v>322</v>
          </cell>
          <cell r="F17">
            <v>160</v>
          </cell>
        </row>
        <row r="18">
          <cell r="E18">
            <v>292</v>
          </cell>
          <cell r="F18">
            <v>110</v>
          </cell>
        </row>
        <row r="19">
          <cell r="E19">
            <v>4714</v>
          </cell>
          <cell r="F19">
            <v>3697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28125" style="0" customWidth="1"/>
  </cols>
  <sheetData>
    <row r="19" spans="2:7" ht="12.75">
      <c r="B19" s="3" t="s">
        <v>174</v>
      </c>
      <c r="G19" s="8" t="s">
        <v>144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90</v>
      </c>
    </row>
    <row r="24" ht="12.75">
      <c r="C24" s="3" t="s">
        <v>119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86</v>
      </c>
    </row>
    <row r="30" spans="3:4" ht="12.75">
      <c r="C30" s="3" t="s">
        <v>136</v>
      </c>
      <c r="D30" t="s">
        <v>73</v>
      </c>
    </row>
    <row r="31" spans="3:4" ht="12.75">
      <c r="C31" t="s">
        <v>74</v>
      </c>
      <c r="D31" t="s">
        <v>132</v>
      </c>
    </row>
    <row r="32" spans="3:4" ht="12.75">
      <c r="C32" t="s">
        <v>75</v>
      </c>
      <c r="D32" t="s">
        <v>131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19" t="s">
        <v>85</v>
      </c>
    </row>
    <row r="35" spans="3:4" ht="12.75">
      <c r="C35" t="s">
        <v>151</v>
      </c>
      <c r="D35" s="19" t="s">
        <v>150</v>
      </c>
    </row>
    <row r="36" spans="3:4" ht="12.75">
      <c r="C36" t="s">
        <v>80</v>
      </c>
      <c r="D36" t="s">
        <v>158</v>
      </c>
    </row>
    <row r="37" spans="3:4" ht="12.75">
      <c r="C37" t="s">
        <v>79</v>
      </c>
      <c r="D37" t="s">
        <v>84</v>
      </c>
    </row>
    <row r="38" spans="3:4" ht="12.75">
      <c r="C38" t="s">
        <v>81</v>
      </c>
      <c r="D38" t="s">
        <v>131</v>
      </c>
    </row>
    <row r="39" spans="3:4" ht="12.75">
      <c r="C39" t="s">
        <v>82</v>
      </c>
      <c r="D39" t="s">
        <v>83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E10" sqref="E10"/>
    </sheetView>
  </sheetViews>
  <sheetFormatPr defaultColWidth="8.8515625" defaultRowHeight="12.75"/>
  <cols>
    <col min="1" max="1" width="19.281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9" width="10.140625" style="0" bestFit="1" customWidth="1"/>
  </cols>
  <sheetData>
    <row r="1" spans="1:19" ht="13.5" thickBot="1">
      <c r="A1" s="39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40" t="s">
        <v>4</v>
      </c>
      <c r="B2" s="47">
        <f>(E2-F2)/F2</f>
        <v>-0.863013698630137</v>
      </c>
      <c r="C2" s="129">
        <f>E2-'[1]Germany'!E2</f>
        <v>-747</v>
      </c>
      <c r="D2" s="38">
        <f>F2-'[1]Germany'!F2</f>
        <v>-1338</v>
      </c>
      <c r="E2" s="43">
        <v>300</v>
      </c>
      <c r="F2" s="145">
        <v>2190</v>
      </c>
      <c r="G2" s="145">
        <v>4361</v>
      </c>
      <c r="H2" s="38">
        <v>5</v>
      </c>
      <c r="I2" s="38">
        <v>5693</v>
      </c>
      <c r="J2" s="38">
        <v>1780</v>
      </c>
      <c r="K2" s="38">
        <v>4890</v>
      </c>
      <c r="L2" s="38">
        <v>1111</v>
      </c>
      <c r="M2" s="38">
        <v>2076</v>
      </c>
      <c r="N2" s="38">
        <v>448</v>
      </c>
      <c r="O2" s="38">
        <v>1780</v>
      </c>
      <c r="P2" s="38">
        <v>776</v>
      </c>
      <c r="Q2" s="38">
        <v>3918</v>
      </c>
      <c r="R2" s="38">
        <v>1755</v>
      </c>
      <c r="S2" s="65">
        <v>4189</v>
      </c>
    </row>
    <row r="3" spans="1:19" ht="12.75">
      <c r="A3" s="40" t="s">
        <v>11</v>
      </c>
      <c r="B3" s="47">
        <f aca="true" t="shared" si="0" ref="B3:B21">(E3-F3)/F3</f>
        <v>0.1020123651351679</v>
      </c>
      <c r="C3" s="129">
        <f>E3-'[1]Germany'!E3</f>
        <v>-9884</v>
      </c>
      <c r="D3" s="38">
        <f>F3-'[1]Germany'!F3</f>
        <v>-10346</v>
      </c>
      <c r="E3" s="43">
        <v>18181</v>
      </c>
      <c r="F3" s="145">
        <v>16498</v>
      </c>
      <c r="G3" s="145">
        <v>23214</v>
      </c>
      <c r="H3" s="38">
        <v>4092</v>
      </c>
      <c r="I3" s="38">
        <v>15279</v>
      </c>
      <c r="J3" s="38">
        <v>22400</v>
      </c>
      <c r="K3" s="38">
        <v>15011</v>
      </c>
      <c r="L3" s="38">
        <v>13383</v>
      </c>
      <c r="M3" s="38">
        <v>11502</v>
      </c>
      <c r="N3" s="38">
        <v>10234</v>
      </c>
      <c r="O3" s="38">
        <v>10344</v>
      </c>
      <c r="P3" s="38">
        <v>9040</v>
      </c>
      <c r="Q3" s="38">
        <v>7206</v>
      </c>
      <c r="R3" s="38">
        <v>7030</v>
      </c>
      <c r="S3" s="65">
        <v>5484</v>
      </c>
    </row>
    <row r="4" spans="1:19" ht="12.75">
      <c r="A4" s="40" t="s">
        <v>5</v>
      </c>
      <c r="B4" s="47"/>
      <c r="C4" s="129">
        <f>E4-'[1]Germany'!E4</f>
        <v>0</v>
      </c>
      <c r="D4" s="38">
        <f>F4-'[1]Germany'!F4</f>
        <v>0</v>
      </c>
      <c r="E4" s="43">
        <v>0</v>
      </c>
      <c r="F4" s="145">
        <v>0</v>
      </c>
      <c r="G4" s="145">
        <v>22</v>
      </c>
      <c r="H4" s="38">
        <v>0</v>
      </c>
      <c r="I4" s="38">
        <v>70</v>
      </c>
      <c r="J4" s="38">
        <v>190</v>
      </c>
      <c r="K4" s="38">
        <v>51</v>
      </c>
      <c r="L4" s="38">
        <v>10</v>
      </c>
      <c r="M4" s="38">
        <v>7</v>
      </c>
      <c r="N4" s="38">
        <v>75</v>
      </c>
      <c r="O4" s="38">
        <v>60</v>
      </c>
      <c r="P4" s="38">
        <v>41</v>
      </c>
      <c r="Q4" s="38">
        <v>16</v>
      </c>
      <c r="R4" s="38">
        <v>22</v>
      </c>
      <c r="S4" s="65">
        <v>309</v>
      </c>
    </row>
    <row r="5" spans="1:19" ht="12.75">
      <c r="A5" s="40" t="s">
        <v>2</v>
      </c>
      <c r="B5" s="47">
        <f t="shared" si="0"/>
        <v>-0.0608818591499514</v>
      </c>
      <c r="C5" s="129">
        <f>E5-'[1]Germany'!E5</f>
        <v>-12278</v>
      </c>
      <c r="D5" s="38">
        <f>F5-'[1]Germany'!F5</f>
        <v>-11062</v>
      </c>
      <c r="E5" s="43">
        <v>31884</v>
      </c>
      <c r="F5" s="145">
        <v>33951</v>
      </c>
      <c r="G5" s="145">
        <v>30296</v>
      </c>
      <c r="H5" s="38">
        <v>16010</v>
      </c>
      <c r="I5" s="38">
        <v>30423</v>
      </c>
      <c r="J5" s="38">
        <v>30580</v>
      </c>
      <c r="K5" s="38">
        <v>40359</v>
      </c>
      <c r="L5" s="38">
        <v>22693</v>
      </c>
      <c r="M5" s="38">
        <v>21862</v>
      </c>
      <c r="N5" s="38">
        <v>30466</v>
      </c>
      <c r="O5" s="38">
        <v>23068</v>
      </c>
      <c r="P5" s="38">
        <v>34323</v>
      </c>
      <c r="Q5" s="38">
        <v>21231</v>
      </c>
      <c r="R5" s="38">
        <v>26777</v>
      </c>
      <c r="S5" s="65">
        <v>29059</v>
      </c>
    </row>
    <row r="6" spans="1:19" ht="12.75">
      <c r="A6" s="40" t="s">
        <v>12</v>
      </c>
      <c r="B6" s="47">
        <f t="shared" si="0"/>
        <v>0.23998312948123154</v>
      </c>
      <c r="C6" s="129">
        <f>E6-'[1]Germany'!E6</f>
        <v>-1068</v>
      </c>
      <c r="D6" s="38">
        <f>F6-'[1]Germany'!F6</f>
        <v>-1548</v>
      </c>
      <c r="E6" s="43">
        <v>5880</v>
      </c>
      <c r="F6" s="145">
        <v>4742</v>
      </c>
      <c r="G6" s="145">
        <v>7234</v>
      </c>
      <c r="H6" s="38">
        <v>1426</v>
      </c>
      <c r="I6" s="38">
        <v>5863</v>
      </c>
      <c r="J6" s="38">
        <v>4774</v>
      </c>
      <c r="K6" s="38">
        <v>6271</v>
      </c>
      <c r="L6" s="38">
        <v>5588</v>
      </c>
      <c r="M6" s="38">
        <v>1285</v>
      </c>
      <c r="N6" s="38">
        <v>3519</v>
      </c>
      <c r="O6" s="38">
        <v>2296</v>
      </c>
      <c r="P6" s="38">
        <v>3569</v>
      </c>
      <c r="Q6" s="38">
        <v>2225</v>
      </c>
      <c r="R6" s="38">
        <v>3070</v>
      </c>
      <c r="S6" s="65">
        <v>1087</v>
      </c>
    </row>
    <row r="7" spans="1:19" ht="12.75">
      <c r="A7" s="40" t="s">
        <v>9</v>
      </c>
      <c r="B7" s="47">
        <f t="shared" si="0"/>
        <v>0.5758321738199722</v>
      </c>
      <c r="C7" s="129">
        <f>E7-'[1]Germany'!E7</f>
        <v>-6899</v>
      </c>
      <c r="D7" s="38">
        <f>F7-'[1]Germany'!F7</f>
        <v>-4317</v>
      </c>
      <c r="E7" s="43">
        <v>14723</v>
      </c>
      <c r="F7" s="145">
        <v>9343</v>
      </c>
      <c r="G7" s="145">
        <v>11013</v>
      </c>
      <c r="H7" s="38">
        <v>5387</v>
      </c>
      <c r="I7" s="38">
        <v>9937</v>
      </c>
      <c r="J7" s="38">
        <v>11987</v>
      </c>
      <c r="K7" s="38">
        <v>5458</v>
      </c>
      <c r="L7" s="38">
        <v>7459</v>
      </c>
      <c r="M7" s="38">
        <v>6984</v>
      </c>
      <c r="N7" s="38">
        <v>5661</v>
      </c>
      <c r="O7" s="38">
        <v>3760</v>
      </c>
      <c r="P7" s="38">
        <v>3162</v>
      </c>
      <c r="Q7" s="38">
        <v>6073</v>
      </c>
      <c r="R7" s="38">
        <v>3398</v>
      </c>
      <c r="S7" s="65">
        <v>2684</v>
      </c>
    </row>
    <row r="8" spans="1:19" ht="12.75">
      <c r="A8" s="40" t="s">
        <v>14</v>
      </c>
      <c r="B8" s="47"/>
      <c r="C8" s="129">
        <f>E8-'[1]Germany'!E8</f>
        <v>-80</v>
      </c>
      <c r="D8" s="38">
        <f>F8-'[1]Germany'!F8</f>
        <v>0</v>
      </c>
      <c r="E8" s="43">
        <v>60</v>
      </c>
      <c r="F8" s="145"/>
      <c r="G8" s="145">
        <v>287</v>
      </c>
      <c r="H8" s="38">
        <v>0</v>
      </c>
      <c r="I8" s="38">
        <v>560</v>
      </c>
      <c r="J8" s="38">
        <v>756</v>
      </c>
      <c r="K8" s="38">
        <v>2287</v>
      </c>
      <c r="L8" s="38">
        <v>1334</v>
      </c>
      <c r="M8" s="38">
        <v>2902</v>
      </c>
      <c r="N8" s="38">
        <v>3313</v>
      </c>
      <c r="O8" s="38">
        <v>3492</v>
      </c>
      <c r="P8" s="38">
        <v>6268</v>
      </c>
      <c r="Q8" s="38">
        <v>9132</v>
      </c>
      <c r="R8" s="38">
        <v>2261</v>
      </c>
      <c r="S8" s="65">
        <v>7093</v>
      </c>
    </row>
    <row r="9" spans="1:19" ht="12.75">
      <c r="A9" s="40" t="s">
        <v>3</v>
      </c>
      <c r="B9" s="47">
        <f t="shared" si="0"/>
        <v>0.20032051282051283</v>
      </c>
      <c r="C9" s="129">
        <f>E9-'[1]Germany'!E9</f>
        <v>-676</v>
      </c>
      <c r="D9" s="38">
        <f>F9-'[1]Germany'!F9</f>
        <v>-546</v>
      </c>
      <c r="E9" s="43">
        <v>2996</v>
      </c>
      <c r="F9" s="145">
        <v>2496</v>
      </c>
      <c r="G9" s="145">
        <v>2590</v>
      </c>
      <c r="H9" s="38">
        <v>1551</v>
      </c>
      <c r="I9" s="38">
        <v>6844</v>
      </c>
      <c r="J9" s="38">
        <v>6789</v>
      </c>
      <c r="K9" s="38">
        <v>6628</v>
      </c>
      <c r="L9" s="38">
        <v>9419</v>
      </c>
      <c r="M9" s="38">
        <v>11298</v>
      </c>
      <c r="N9" s="38">
        <v>14035</v>
      </c>
      <c r="O9" s="38">
        <v>9211</v>
      </c>
      <c r="P9" s="38">
        <v>13748</v>
      </c>
      <c r="Q9" s="38">
        <v>16625</v>
      </c>
      <c r="R9" s="38">
        <v>12354</v>
      </c>
      <c r="S9" s="65">
        <v>11611</v>
      </c>
    </row>
    <row r="10" spans="1:19" ht="12.75">
      <c r="A10" s="40" t="s">
        <v>15</v>
      </c>
      <c r="B10" s="47"/>
      <c r="C10" s="129">
        <f>E10-'[1]Germany'!E10</f>
        <v>-668</v>
      </c>
      <c r="D10" s="38">
        <f>F10-'[1]Germany'!F10</f>
        <v>-52</v>
      </c>
      <c r="E10" s="43">
        <v>100</v>
      </c>
      <c r="F10" s="145"/>
      <c r="G10" s="145">
        <v>50</v>
      </c>
      <c r="H10" s="38">
        <v>0</v>
      </c>
      <c r="I10" s="38">
        <v>300</v>
      </c>
      <c r="J10" s="38">
        <v>325</v>
      </c>
      <c r="K10" s="38">
        <v>568</v>
      </c>
      <c r="L10" s="38">
        <v>330</v>
      </c>
      <c r="M10" s="38">
        <v>2</v>
      </c>
      <c r="N10" s="38">
        <v>742</v>
      </c>
      <c r="O10" s="38">
        <v>95</v>
      </c>
      <c r="P10" s="38">
        <v>410</v>
      </c>
      <c r="Q10" s="38">
        <v>0</v>
      </c>
      <c r="R10" s="38">
        <v>74</v>
      </c>
      <c r="S10" s="65">
        <v>104</v>
      </c>
    </row>
    <row r="11" spans="1:20" ht="12.75">
      <c r="A11" s="40" t="s">
        <v>10</v>
      </c>
      <c r="B11" s="47">
        <f t="shared" si="0"/>
        <v>0.7361365021328459</v>
      </c>
      <c r="C11" s="129">
        <f>E11-'[1]Germany'!E11</f>
        <v>-151</v>
      </c>
      <c r="D11" s="38">
        <f>F11-'[1]Germany'!F11</f>
        <v>-611</v>
      </c>
      <c r="E11" s="43">
        <v>5698</v>
      </c>
      <c r="F11" s="145">
        <v>3282</v>
      </c>
      <c r="G11" s="145">
        <v>8187</v>
      </c>
      <c r="H11" s="38">
        <v>7101</v>
      </c>
      <c r="I11" s="38">
        <v>9973</v>
      </c>
      <c r="J11" s="38">
        <v>15381</v>
      </c>
      <c r="K11" s="38">
        <v>9203</v>
      </c>
      <c r="L11" s="38">
        <v>19774</v>
      </c>
      <c r="M11" s="38">
        <v>21220</v>
      </c>
      <c r="N11" s="38">
        <v>19566</v>
      </c>
      <c r="O11" s="38">
        <v>18082</v>
      </c>
      <c r="P11" s="38">
        <v>22915</v>
      </c>
      <c r="Q11" s="38">
        <v>21192</v>
      </c>
      <c r="R11" s="38">
        <v>11528</v>
      </c>
      <c r="S11" s="65">
        <v>19663</v>
      </c>
      <c r="T11" s="1"/>
    </row>
    <row r="12" spans="1:20" ht="12.75">
      <c r="A12" s="40" t="s">
        <v>99</v>
      </c>
      <c r="B12" s="47"/>
      <c r="C12" s="129">
        <f>E12-'[1]Germany'!E12</f>
        <v>0</v>
      </c>
      <c r="D12" s="94">
        <f>F12-'[1]Germany'!F12</f>
        <v>0</v>
      </c>
      <c r="E12" s="72">
        <v>0</v>
      </c>
      <c r="F12" s="164"/>
      <c r="G12" s="164"/>
      <c r="H12" s="94"/>
      <c r="I12" s="94"/>
      <c r="J12" s="94"/>
      <c r="K12" s="94">
        <v>0</v>
      </c>
      <c r="L12" s="94">
        <v>0</v>
      </c>
      <c r="M12" s="38">
        <v>0</v>
      </c>
      <c r="N12" s="38">
        <v>0</v>
      </c>
      <c r="O12" s="38">
        <v>0</v>
      </c>
      <c r="P12" s="38">
        <v>5</v>
      </c>
      <c r="Q12" s="38">
        <v>37</v>
      </c>
      <c r="R12" s="38">
        <v>0</v>
      </c>
      <c r="S12" s="65">
        <v>0</v>
      </c>
      <c r="T12" s="1"/>
    </row>
    <row r="13" spans="1:20" ht="12.75">
      <c r="A13" s="40" t="s">
        <v>27</v>
      </c>
      <c r="B13" s="47">
        <f t="shared" si="0"/>
        <v>-0.14422601995455891</v>
      </c>
      <c r="C13" s="129">
        <f>E13-'[1]Germany'!E13</f>
        <v>-1306</v>
      </c>
      <c r="D13" s="38">
        <f>F13-'[1]Germany'!F13</f>
        <v>-2449</v>
      </c>
      <c r="E13" s="43">
        <v>8663</v>
      </c>
      <c r="F13" s="145">
        <v>10123</v>
      </c>
      <c r="G13" s="145">
        <v>24415</v>
      </c>
      <c r="H13" s="38">
        <v>8847</v>
      </c>
      <c r="I13" s="38">
        <v>26001</v>
      </c>
      <c r="J13" s="38">
        <v>22738</v>
      </c>
      <c r="K13" s="38">
        <v>28802</v>
      </c>
      <c r="L13" s="38">
        <v>25031</v>
      </c>
      <c r="M13" s="38">
        <v>31046</v>
      </c>
      <c r="N13" s="38">
        <v>40437</v>
      </c>
      <c r="O13" s="38">
        <v>28998</v>
      </c>
      <c r="P13" s="38">
        <v>42876</v>
      </c>
      <c r="Q13" s="38">
        <v>39678</v>
      </c>
      <c r="R13" s="38">
        <v>36203</v>
      </c>
      <c r="S13" s="65">
        <v>38090</v>
      </c>
      <c r="T13" s="1"/>
    </row>
    <row r="14" spans="1:19" ht="12.75">
      <c r="A14" s="40" t="s">
        <v>26</v>
      </c>
      <c r="B14" s="47">
        <f t="shared" si="0"/>
        <v>0.08432697688433559</v>
      </c>
      <c r="C14" s="129">
        <f>E14-'[1]Germany'!E14</f>
        <v>-1492</v>
      </c>
      <c r="D14" s="38">
        <f>F14-'[1]Germany'!F14</f>
        <v>-3280</v>
      </c>
      <c r="E14" s="43">
        <v>25190</v>
      </c>
      <c r="F14" s="145">
        <v>23231</v>
      </c>
      <c r="G14" s="145">
        <v>43534</v>
      </c>
      <c r="H14" s="38">
        <v>18960</v>
      </c>
      <c r="I14" s="38">
        <v>48949</v>
      </c>
      <c r="J14" s="38">
        <v>46898</v>
      </c>
      <c r="K14" s="38">
        <v>54997</v>
      </c>
      <c r="L14" s="38">
        <v>37943</v>
      </c>
      <c r="M14" s="38">
        <v>54384</v>
      </c>
      <c r="N14" s="38">
        <v>60826</v>
      </c>
      <c r="O14" s="38">
        <v>46168</v>
      </c>
      <c r="P14" s="38">
        <v>58742</v>
      </c>
      <c r="Q14" s="38">
        <v>46812</v>
      </c>
      <c r="R14" s="38">
        <v>38985</v>
      </c>
      <c r="S14" s="65">
        <v>44937</v>
      </c>
    </row>
    <row r="15" spans="1:19" ht="12.75">
      <c r="A15" s="40" t="s">
        <v>13</v>
      </c>
      <c r="B15" s="47">
        <f t="shared" si="0"/>
        <v>-0.043618433529300206</v>
      </c>
      <c r="C15" s="129">
        <f>E15-'[1]Germany'!E15</f>
        <v>-2003</v>
      </c>
      <c r="D15" s="38">
        <f>F15-'[1]Germany'!F15</f>
        <v>-1606</v>
      </c>
      <c r="E15" s="43">
        <v>5043</v>
      </c>
      <c r="F15" s="145">
        <v>5273</v>
      </c>
      <c r="G15" s="145">
        <v>6491</v>
      </c>
      <c r="H15" s="38">
        <v>4343</v>
      </c>
      <c r="I15" s="38">
        <v>9201</v>
      </c>
      <c r="J15" s="38">
        <v>10597</v>
      </c>
      <c r="K15" s="38">
        <v>10968</v>
      </c>
      <c r="L15" s="38">
        <v>8325</v>
      </c>
      <c r="M15" s="38">
        <v>7878</v>
      </c>
      <c r="N15" s="38">
        <v>7387</v>
      </c>
      <c r="O15" s="38">
        <v>5797</v>
      </c>
      <c r="P15" s="38">
        <v>7964</v>
      </c>
      <c r="Q15" s="38">
        <v>5618</v>
      </c>
      <c r="R15" s="38">
        <v>3271</v>
      </c>
      <c r="S15" s="65">
        <v>4402</v>
      </c>
    </row>
    <row r="16" spans="1:19" ht="12.75">
      <c r="A16" s="40" t="s">
        <v>134</v>
      </c>
      <c r="B16" s="47">
        <f t="shared" si="0"/>
        <v>0.0671336431097857</v>
      </c>
      <c r="C16" s="129">
        <f>E16-'[1]Germany'!E16</f>
        <v>-3715</v>
      </c>
      <c r="D16" s="38">
        <f>F16-'[1]Germany'!F16</f>
        <v>-5354</v>
      </c>
      <c r="E16" s="43">
        <v>46161</v>
      </c>
      <c r="F16" s="145">
        <v>43257</v>
      </c>
      <c r="G16" s="145">
        <v>56665</v>
      </c>
      <c r="H16" s="38">
        <v>34408</v>
      </c>
      <c r="I16" s="38">
        <v>51419</v>
      </c>
      <c r="J16" s="38">
        <v>30421</v>
      </c>
      <c r="K16" s="38">
        <v>29472</v>
      </c>
      <c r="L16" s="38">
        <v>13657</v>
      </c>
      <c r="M16" s="38">
        <v>21503</v>
      </c>
      <c r="N16" s="38">
        <v>15738</v>
      </c>
      <c r="O16" s="38">
        <v>11201</v>
      </c>
      <c r="P16" s="38">
        <v>14449</v>
      </c>
      <c r="Q16" s="38">
        <v>9322</v>
      </c>
      <c r="R16" s="38">
        <v>8955</v>
      </c>
      <c r="S16" s="65">
        <v>2961</v>
      </c>
    </row>
    <row r="17" spans="1:19" ht="12.75">
      <c r="A17" s="40" t="s">
        <v>89</v>
      </c>
      <c r="B17" s="47">
        <f t="shared" si="0"/>
        <v>2.808219178082192</v>
      </c>
      <c r="C17" s="129">
        <f>E17-'[1]Germany'!E17</f>
        <v>-139</v>
      </c>
      <c r="D17" s="38">
        <f>F17-'[1]Germany'!F17</f>
        <v>26</v>
      </c>
      <c r="E17" s="43">
        <v>278</v>
      </c>
      <c r="F17" s="145">
        <v>73</v>
      </c>
      <c r="G17" s="145">
        <v>191</v>
      </c>
      <c r="H17" s="38">
        <v>10</v>
      </c>
      <c r="I17" s="38">
        <v>1120</v>
      </c>
      <c r="J17" s="38">
        <v>1235</v>
      </c>
      <c r="K17" s="38">
        <v>960</v>
      </c>
      <c r="L17" s="38">
        <v>20</v>
      </c>
      <c r="M17" s="38">
        <v>1595</v>
      </c>
      <c r="N17" s="38">
        <v>1567</v>
      </c>
      <c r="O17" s="38">
        <v>578</v>
      </c>
      <c r="P17" s="38">
        <v>782</v>
      </c>
      <c r="Q17" s="38">
        <v>719</v>
      </c>
      <c r="R17" s="38">
        <v>436</v>
      </c>
      <c r="S17" s="65">
        <v>391</v>
      </c>
    </row>
    <row r="18" spans="1:19" ht="12.75">
      <c r="A18" s="40" t="s">
        <v>96</v>
      </c>
      <c r="B18" s="47">
        <f t="shared" si="0"/>
        <v>0.8052851182197497</v>
      </c>
      <c r="C18" s="129">
        <f>E18-'[1]Germany'!E18</f>
        <v>-129</v>
      </c>
      <c r="D18" s="38">
        <f>F18-'[1]Germany'!F18</f>
        <v>-433</v>
      </c>
      <c r="E18" s="43">
        <v>1298</v>
      </c>
      <c r="F18" s="145">
        <v>719</v>
      </c>
      <c r="G18" s="145">
        <v>1820</v>
      </c>
      <c r="H18" s="38">
        <v>118</v>
      </c>
      <c r="I18" s="38">
        <v>589</v>
      </c>
      <c r="J18" s="38">
        <v>884</v>
      </c>
      <c r="K18" s="38">
        <v>745</v>
      </c>
      <c r="L18" s="38">
        <v>877</v>
      </c>
      <c r="M18" s="38">
        <v>1008</v>
      </c>
      <c r="N18" s="38">
        <v>1546</v>
      </c>
      <c r="O18" s="38">
        <v>1318</v>
      </c>
      <c r="P18" s="38">
        <v>1230</v>
      </c>
      <c r="Q18" s="38">
        <v>1199</v>
      </c>
      <c r="R18" s="38">
        <v>1034</v>
      </c>
      <c r="S18" s="65">
        <v>946</v>
      </c>
    </row>
    <row r="19" spans="1:19" ht="12.75">
      <c r="A19" s="40" t="s">
        <v>143</v>
      </c>
      <c r="B19" s="47">
        <f t="shared" si="0"/>
        <v>1.0067011028898507</v>
      </c>
      <c r="C19" s="129">
        <f>E19-'[1]Germany'!E19</f>
        <v>-7068</v>
      </c>
      <c r="D19" s="38">
        <f>F19-'[1]Germany'!F19</f>
        <v>7681</v>
      </c>
      <c r="E19" s="43">
        <v>28748</v>
      </c>
      <c r="F19" s="145">
        <v>14326</v>
      </c>
      <c r="G19" s="145">
        <v>28957</v>
      </c>
      <c r="H19" s="38">
        <v>9804</v>
      </c>
      <c r="I19" s="38">
        <v>17225</v>
      </c>
      <c r="J19" s="38">
        <v>17565</v>
      </c>
      <c r="K19" s="38">
        <v>18367</v>
      </c>
      <c r="L19" s="38">
        <v>10770</v>
      </c>
      <c r="M19" s="38">
        <v>9843</v>
      </c>
      <c r="N19" s="38">
        <v>7612</v>
      </c>
      <c r="O19" s="38">
        <v>4559</v>
      </c>
      <c r="P19" s="38">
        <v>5054</v>
      </c>
      <c r="Q19" s="38">
        <v>1609</v>
      </c>
      <c r="R19" s="38">
        <v>2059</v>
      </c>
      <c r="S19" s="65">
        <v>780</v>
      </c>
    </row>
    <row r="20" spans="1:19" ht="13.5" thickBot="1">
      <c r="A20" s="41" t="s">
        <v>6</v>
      </c>
      <c r="B20" s="47">
        <f t="shared" si="0"/>
        <v>-0.2461599054745963</v>
      </c>
      <c r="C20" s="130">
        <f>E20-'[1]Germany'!E20</f>
        <v>-897</v>
      </c>
      <c r="D20" s="38">
        <f>F20-'[1]Germany'!F20</f>
        <v>-1324</v>
      </c>
      <c r="E20" s="43">
        <v>1914</v>
      </c>
      <c r="F20" s="145">
        <v>2539</v>
      </c>
      <c r="G20" s="145">
        <v>2702</v>
      </c>
      <c r="H20" s="38">
        <v>724</v>
      </c>
      <c r="I20" s="37">
        <v>2544</v>
      </c>
      <c r="J20" s="37">
        <v>2070</v>
      </c>
      <c r="K20" s="37">
        <v>4873</v>
      </c>
      <c r="L20" s="37">
        <v>3496</v>
      </c>
      <c r="M20" s="37">
        <v>4698</v>
      </c>
      <c r="N20" s="37">
        <v>4524</v>
      </c>
      <c r="O20" s="37">
        <v>3406</v>
      </c>
      <c r="P20" s="37">
        <v>3468</v>
      </c>
      <c r="Q20" s="37">
        <v>4445</v>
      </c>
      <c r="R20" s="37">
        <v>2951</v>
      </c>
      <c r="S20" s="66">
        <v>2885</v>
      </c>
    </row>
    <row r="21" spans="1:19" ht="13.5" thickBot="1">
      <c r="A21" s="42" t="s">
        <v>92</v>
      </c>
      <c r="B21" s="143">
        <f t="shared" si="0"/>
        <v>0.14574263410891464</v>
      </c>
      <c r="C21" s="70">
        <f>E21-'[1]Germany'!E21</f>
        <v>-49200</v>
      </c>
      <c r="D21" s="46">
        <f>F21-'[1]Germany'!F21</f>
        <v>-36559</v>
      </c>
      <c r="E21" s="45">
        <f>SUM(E2:E20)</f>
        <v>197117</v>
      </c>
      <c r="F21" s="146">
        <f>SUM(F2:F20)</f>
        <v>172043</v>
      </c>
      <c r="G21" s="146">
        <f>SUM(G2:G20)</f>
        <v>252029</v>
      </c>
      <c r="H21" s="46">
        <f aca="true" t="shared" si="1" ref="H21:M21">SUM(H2:H20)</f>
        <v>112786</v>
      </c>
      <c r="I21" s="46">
        <f t="shared" si="1"/>
        <v>241990</v>
      </c>
      <c r="J21" s="46">
        <f t="shared" si="1"/>
        <v>227370</v>
      </c>
      <c r="K21" s="46">
        <f t="shared" si="1"/>
        <v>239910</v>
      </c>
      <c r="L21" s="46">
        <f t="shared" si="1"/>
        <v>181220</v>
      </c>
      <c r="M21" s="46">
        <f t="shared" si="1"/>
        <v>211093</v>
      </c>
      <c r="N21" s="46">
        <f aca="true" t="shared" si="2" ref="N21:S21">SUM(N2:N20)</f>
        <v>227696</v>
      </c>
      <c r="O21" s="46">
        <f t="shared" si="2"/>
        <v>174213</v>
      </c>
      <c r="P21" s="46">
        <f t="shared" si="2"/>
        <v>228822</v>
      </c>
      <c r="Q21" s="46">
        <f t="shared" si="2"/>
        <v>197057</v>
      </c>
      <c r="R21" s="46">
        <f t="shared" si="2"/>
        <v>162163</v>
      </c>
      <c r="S21" s="35">
        <f t="shared" si="2"/>
        <v>176675</v>
      </c>
    </row>
    <row r="23" spans="2:19" ht="13.5" thickBot="1">
      <c r="B23" s="3"/>
      <c r="C23" s="3"/>
      <c r="D23" s="3"/>
      <c r="E23" s="3"/>
      <c r="F23" s="155"/>
      <c r="G23" s="15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52" customFormat="1" ht="13.5" thickBot="1">
      <c r="A24" s="53" t="s">
        <v>25</v>
      </c>
      <c r="B24" s="24" t="s">
        <v>175</v>
      </c>
      <c r="C24" s="49" t="s">
        <v>176</v>
      </c>
      <c r="D24" s="25" t="s">
        <v>170</v>
      </c>
      <c r="E24" s="115">
        <v>44256</v>
      </c>
      <c r="F24" s="147">
        <v>43891</v>
      </c>
      <c r="G24" s="147">
        <v>43525</v>
      </c>
      <c r="H24" s="25">
        <v>43160</v>
      </c>
      <c r="I24" s="25">
        <v>42795</v>
      </c>
      <c r="J24" s="25">
        <v>42430</v>
      </c>
      <c r="K24" s="25">
        <f>K1</f>
        <v>42064</v>
      </c>
      <c r="L24" s="25">
        <v>41699</v>
      </c>
      <c r="M24" s="25">
        <v>41334</v>
      </c>
      <c r="N24" s="25">
        <v>40969</v>
      </c>
      <c r="O24" s="25">
        <v>40603</v>
      </c>
      <c r="P24" s="25">
        <v>40238</v>
      </c>
      <c r="Q24" s="25">
        <v>39873</v>
      </c>
      <c r="R24" s="25">
        <v>39508</v>
      </c>
      <c r="S24" s="26">
        <v>39142</v>
      </c>
    </row>
    <row r="25" spans="1:19" s="52" customFormat="1" ht="13.5" thickBot="1">
      <c r="A25" s="58" t="s">
        <v>6</v>
      </c>
      <c r="B25" s="85">
        <f>(E25-F25)/F25</f>
        <v>0.3631578947368421</v>
      </c>
      <c r="C25" s="131">
        <f>E25-'[1]Germany'!E25</f>
        <v>-801</v>
      </c>
      <c r="D25" s="60">
        <f>F25-'[1]Germany'!F25</f>
        <v>-1265</v>
      </c>
      <c r="E25" s="59">
        <v>1554</v>
      </c>
      <c r="F25" s="165">
        <v>1140</v>
      </c>
      <c r="G25" s="165">
        <v>1197</v>
      </c>
      <c r="H25" s="60">
        <v>1063</v>
      </c>
      <c r="I25" s="60">
        <v>158</v>
      </c>
      <c r="J25" s="60">
        <v>322</v>
      </c>
      <c r="K25" s="60">
        <v>992</v>
      </c>
      <c r="L25" s="60">
        <v>630</v>
      </c>
      <c r="M25" s="60">
        <v>139</v>
      </c>
      <c r="N25" s="60">
        <v>557</v>
      </c>
      <c r="O25" s="60">
        <v>158</v>
      </c>
      <c r="P25" s="60">
        <v>444</v>
      </c>
      <c r="Q25" s="60">
        <v>196</v>
      </c>
      <c r="R25" s="60">
        <v>260</v>
      </c>
      <c r="S25" s="68">
        <v>118</v>
      </c>
    </row>
    <row r="26" spans="1:19" s="52" customFormat="1" ht="13.5" thickBot="1">
      <c r="A26" s="61" t="s">
        <v>92</v>
      </c>
      <c r="B26" s="62">
        <f>(E26-F26)/F26</f>
        <v>0.3631578947368421</v>
      </c>
      <c r="C26" s="70">
        <f>E26-'[1]Germany'!E26</f>
        <v>-801</v>
      </c>
      <c r="D26" s="80">
        <f>F26-'[1]Germany'!F26</f>
        <v>-1265</v>
      </c>
      <c r="E26" s="63">
        <v>1554</v>
      </c>
      <c r="F26" s="154">
        <f>SUM(F25)</f>
        <v>1140</v>
      </c>
      <c r="G26" s="154">
        <f>SUM(G25)</f>
        <v>1197</v>
      </c>
      <c r="H26" s="80">
        <f aca="true" t="shared" si="3" ref="H26:M26">SUM(H25)</f>
        <v>1063</v>
      </c>
      <c r="I26" s="80">
        <f t="shared" si="3"/>
        <v>158</v>
      </c>
      <c r="J26" s="80">
        <f t="shared" si="3"/>
        <v>322</v>
      </c>
      <c r="K26" s="80">
        <f t="shared" si="3"/>
        <v>992</v>
      </c>
      <c r="L26" s="80">
        <f t="shared" si="3"/>
        <v>630</v>
      </c>
      <c r="M26" s="80">
        <f t="shared" si="3"/>
        <v>139</v>
      </c>
      <c r="N26" s="80">
        <f aca="true" t="shared" si="4" ref="N26:S26">SUM(N25)</f>
        <v>557</v>
      </c>
      <c r="O26" s="80">
        <f t="shared" si="4"/>
        <v>158</v>
      </c>
      <c r="P26" s="80">
        <f t="shared" si="4"/>
        <v>444</v>
      </c>
      <c r="Q26" s="80">
        <f t="shared" si="4"/>
        <v>196</v>
      </c>
      <c r="R26" s="64">
        <f t="shared" si="4"/>
        <v>260</v>
      </c>
      <c r="S26" s="69">
        <f t="shared" si="4"/>
        <v>118</v>
      </c>
    </row>
    <row r="27" spans="6:7" s="52" customFormat="1" ht="12.75">
      <c r="F27" s="158"/>
      <c r="G27" s="158"/>
    </row>
    <row r="28" spans="6:7" s="52" customFormat="1" ht="12.75">
      <c r="F28" s="158"/>
      <c r="G28" s="158"/>
    </row>
    <row r="29" spans="6:7" s="52" customFormat="1" ht="12.75">
      <c r="F29" s="158"/>
      <c r="G29" s="158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C34" sqref="C34"/>
    </sheetView>
  </sheetViews>
  <sheetFormatPr defaultColWidth="8.8515625" defaultRowHeight="12.75"/>
  <cols>
    <col min="1" max="1" width="19.7109375" style="0" customWidth="1"/>
    <col min="2" max="3" width="10.7109375" style="0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9" width="10.140625" style="0" bestFit="1" customWidth="1"/>
    <col min="10" max="13" width="10.140625" style="3" bestFit="1" customWidth="1"/>
    <col min="14" max="19" width="10.140625" style="0" bestFit="1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20" t="s">
        <v>20</v>
      </c>
      <c r="B2" s="101"/>
      <c r="C2" s="50">
        <f>E2-'[1]Italy'!$F2</f>
        <v>-5000</v>
      </c>
      <c r="D2" s="1">
        <f>F2-'[1]Italy'!$F2</f>
        <v>-5000</v>
      </c>
      <c r="E2" s="114"/>
      <c r="F2" s="148">
        <v>0</v>
      </c>
      <c r="G2" s="148">
        <v>0</v>
      </c>
      <c r="H2" s="1"/>
      <c r="I2" s="1">
        <v>0</v>
      </c>
      <c r="J2" s="38">
        <v>0</v>
      </c>
      <c r="K2" s="38">
        <v>0</v>
      </c>
      <c r="L2" s="38"/>
      <c r="M2" s="38"/>
      <c r="N2" s="1">
        <v>1104.4162792295535</v>
      </c>
      <c r="O2" s="1">
        <v>0</v>
      </c>
      <c r="P2" s="1">
        <v>0</v>
      </c>
      <c r="Q2" s="1">
        <v>0</v>
      </c>
      <c r="R2" s="1">
        <v>0</v>
      </c>
      <c r="S2" s="29">
        <v>10000</v>
      </c>
    </row>
    <row r="3" spans="1:19" ht="12.75">
      <c r="A3" s="20" t="s">
        <v>11</v>
      </c>
      <c r="B3" s="101">
        <f>(E3-F3)/F3</f>
        <v>-0.16146799730750097</v>
      </c>
      <c r="C3" s="50">
        <f>E3-'[1]Italy'!$F3</f>
        <v>-8961.2</v>
      </c>
      <c r="D3" s="1">
        <f>F3-'[1]Italy'!$F3</f>
        <v>-3444</v>
      </c>
      <c r="E3" s="114">
        <v>28651.8</v>
      </c>
      <c r="F3" s="148">
        <v>34169</v>
      </c>
      <c r="G3" s="148">
        <v>42330.76</v>
      </c>
      <c r="H3" s="1">
        <v>29352.109999999997</v>
      </c>
      <c r="I3" s="1">
        <v>46137.4</v>
      </c>
      <c r="J3" s="38">
        <v>41096.8</v>
      </c>
      <c r="K3" s="38">
        <v>43408</v>
      </c>
      <c r="L3" s="38">
        <v>47284</v>
      </c>
      <c r="M3" s="38">
        <v>35420</v>
      </c>
      <c r="N3" s="1">
        <v>50557.611649993916</v>
      </c>
      <c r="O3" s="1">
        <v>45432</v>
      </c>
      <c r="P3" s="1">
        <v>48875.29</v>
      </c>
      <c r="Q3" s="1">
        <v>40013</v>
      </c>
      <c r="R3" s="1">
        <v>38248</v>
      </c>
      <c r="S3" s="29">
        <v>33048</v>
      </c>
    </row>
    <row r="4" spans="1:19" ht="12.75">
      <c r="A4" s="20" t="s">
        <v>61</v>
      </c>
      <c r="B4" s="101">
        <f aca="true" t="shared" si="0" ref="B4:B20">(E4-F4)/F4</f>
        <v>0.37445394112060787</v>
      </c>
      <c r="C4" s="50">
        <f>E4-'[1]Italy'!$F4</f>
        <v>-1658.199999999997</v>
      </c>
      <c r="D4" s="1">
        <f>F4-'[1]Italy'!$F4</f>
        <v>-15853</v>
      </c>
      <c r="E4" s="114">
        <v>52102.8</v>
      </c>
      <c r="F4" s="148">
        <v>37908</v>
      </c>
      <c r="G4" s="148">
        <v>48567.83</v>
      </c>
      <c r="H4" s="1">
        <v>38443.21</v>
      </c>
      <c r="I4" s="1">
        <v>53716.8</v>
      </c>
      <c r="J4" s="38">
        <v>39035.6</v>
      </c>
      <c r="K4" s="38">
        <v>56548</v>
      </c>
      <c r="L4" s="38">
        <v>30486</v>
      </c>
      <c r="M4" s="38">
        <v>22756</v>
      </c>
      <c r="N4" s="1">
        <v>42774.583678581286</v>
      </c>
      <c r="O4" s="1">
        <v>22638</v>
      </c>
      <c r="P4" s="1"/>
      <c r="Q4" s="1"/>
      <c r="R4" s="1"/>
      <c r="S4" s="29"/>
    </row>
    <row r="5" spans="1:19" ht="12.75">
      <c r="A5" s="20" t="s">
        <v>2</v>
      </c>
      <c r="B5" s="101"/>
      <c r="C5" s="50">
        <f>E5-'[1]Italy'!$F5</f>
        <v>0</v>
      </c>
      <c r="D5" s="1">
        <f>F5-'[1]Italy'!$F5</f>
        <v>0</v>
      </c>
      <c r="E5" s="114"/>
      <c r="F5" s="148">
        <v>0</v>
      </c>
      <c r="G5" s="148">
        <v>0</v>
      </c>
      <c r="H5" s="1">
        <v>0</v>
      </c>
      <c r="I5" s="1">
        <v>0</v>
      </c>
      <c r="J5" s="38">
        <v>2</v>
      </c>
      <c r="K5" s="38"/>
      <c r="L5" s="38">
        <v>3</v>
      </c>
      <c r="M5" s="38"/>
      <c r="N5" s="1">
        <v>8.017541047038502</v>
      </c>
      <c r="O5" s="1"/>
      <c r="P5" s="1">
        <v>34</v>
      </c>
      <c r="Q5" s="1">
        <v>0</v>
      </c>
      <c r="R5" s="1">
        <v>10</v>
      </c>
      <c r="S5" s="29">
        <v>10</v>
      </c>
    </row>
    <row r="6" spans="1:19" ht="12.75">
      <c r="A6" s="20" t="s">
        <v>12</v>
      </c>
      <c r="B6" s="101">
        <f t="shared" si="0"/>
        <v>0.1624256555825899</v>
      </c>
      <c r="C6" s="50">
        <f>E6-'[1]Italy'!$F6</f>
        <v>-8066</v>
      </c>
      <c r="D6" s="1">
        <f>F6-'[1]Italy'!$F6</f>
        <v>-17679</v>
      </c>
      <c r="E6" s="114">
        <v>68797</v>
      </c>
      <c r="F6" s="148">
        <v>59184</v>
      </c>
      <c r="G6" s="148">
        <v>76693.94</v>
      </c>
      <c r="H6" s="1">
        <v>50932.625</v>
      </c>
      <c r="I6" s="1">
        <v>66776.23</v>
      </c>
      <c r="J6" s="38">
        <v>87474.61300000001</v>
      </c>
      <c r="K6" s="38">
        <v>79151</v>
      </c>
      <c r="L6" s="38">
        <v>79174</v>
      </c>
      <c r="M6" s="38">
        <v>44485</v>
      </c>
      <c r="N6" s="1">
        <v>63472.86808414206</v>
      </c>
      <c r="O6" s="1">
        <v>73053</v>
      </c>
      <c r="P6" s="1">
        <v>60830.92</v>
      </c>
      <c r="Q6" s="1">
        <v>57133.4</v>
      </c>
      <c r="R6" s="1">
        <v>52362.9</v>
      </c>
      <c r="S6" s="29">
        <v>38768</v>
      </c>
    </row>
    <row r="7" spans="1:19" ht="12.75">
      <c r="A7" s="20" t="s">
        <v>9</v>
      </c>
      <c r="B7" s="101">
        <f t="shared" si="0"/>
        <v>-0.09714525590885915</v>
      </c>
      <c r="C7" s="50">
        <f>E7-'[1]Italy'!$F7</f>
        <v>-41231.490000000005</v>
      </c>
      <c r="D7" s="1">
        <f>F7-'[1]Italy'!$F7</f>
        <v>-36661</v>
      </c>
      <c r="E7" s="114">
        <v>42477.509999999995</v>
      </c>
      <c r="F7" s="148">
        <v>47048</v>
      </c>
      <c r="G7" s="148">
        <v>42119.95</v>
      </c>
      <c r="H7" s="1">
        <v>13515</v>
      </c>
      <c r="I7" s="1">
        <v>30577.780000000002</v>
      </c>
      <c r="J7" s="38">
        <v>15271.122000000001</v>
      </c>
      <c r="K7" s="38">
        <v>29179</v>
      </c>
      <c r="L7" s="38">
        <v>23186</v>
      </c>
      <c r="M7" s="38">
        <v>14031</v>
      </c>
      <c r="N7" s="1">
        <v>24320.208573560416</v>
      </c>
      <c r="O7" s="1">
        <v>26151</v>
      </c>
      <c r="P7" s="1">
        <v>20743.63</v>
      </c>
      <c r="Q7" s="1">
        <v>29535.3</v>
      </c>
      <c r="R7" s="1">
        <v>17193.9</v>
      </c>
      <c r="S7" s="29">
        <v>10189</v>
      </c>
    </row>
    <row r="8" spans="1:19" ht="12.75">
      <c r="A8" s="20" t="s">
        <v>14</v>
      </c>
      <c r="B8" s="101"/>
      <c r="C8" s="50">
        <f>E8-'[1]Italy'!$F8</f>
        <v>0</v>
      </c>
      <c r="D8" s="1">
        <f>F8-'[1]Italy'!$F8</f>
        <v>0</v>
      </c>
      <c r="E8" s="114"/>
      <c r="F8" s="148">
        <v>0</v>
      </c>
      <c r="G8" s="148">
        <v>5</v>
      </c>
      <c r="H8" s="1">
        <v>5</v>
      </c>
      <c r="I8" s="1">
        <v>11</v>
      </c>
      <c r="J8" s="38">
        <v>7</v>
      </c>
      <c r="K8" s="38">
        <v>20</v>
      </c>
      <c r="L8" s="38">
        <v>15</v>
      </c>
      <c r="M8" s="38"/>
      <c r="N8" s="1">
        <v>34.07454944991363</v>
      </c>
      <c r="O8" s="1"/>
      <c r="P8" s="1">
        <v>121.97</v>
      </c>
      <c r="Q8" s="1">
        <v>211.5</v>
      </c>
      <c r="R8" s="1">
        <v>149.6</v>
      </c>
      <c r="S8" s="29">
        <v>368</v>
      </c>
    </row>
    <row r="9" spans="1:19" ht="12.75">
      <c r="A9" s="20" t="s">
        <v>3</v>
      </c>
      <c r="B9" s="101">
        <f t="shared" si="0"/>
        <v>-0.10302411672525304</v>
      </c>
      <c r="C9" s="50">
        <f>E9-'[1]Italy'!$F9</f>
        <v>-107827.5</v>
      </c>
      <c r="D9" s="1">
        <f>F9-'[1]Italy'!$F9</f>
        <v>-67001</v>
      </c>
      <c r="E9" s="114">
        <v>355454.5</v>
      </c>
      <c r="F9" s="148">
        <v>396281</v>
      </c>
      <c r="G9" s="148">
        <v>442897.19</v>
      </c>
      <c r="H9" s="1">
        <v>219090</v>
      </c>
      <c r="I9" s="76">
        <v>494538.3449999999</v>
      </c>
      <c r="J9" s="95">
        <v>481663.924</v>
      </c>
      <c r="K9" s="95">
        <v>512628</v>
      </c>
      <c r="L9" s="95">
        <v>430066</v>
      </c>
      <c r="M9" s="95">
        <v>421014</v>
      </c>
      <c r="N9" s="76">
        <v>475064.3618528032</v>
      </c>
      <c r="O9" s="76">
        <v>457811</v>
      </c>
      <c r="P9" s="76">
        <v>473349.34</v>
      </c>
      <c r="Q9" s="76">
        <v>502652.3</v>
      </c>
      <c r="R9" s="1">
        <v>419737.1</v>
      </c>
      <c r="S9" s="29">
        <v>428678</v>
      </c>
    </row>
    <row r="10" spans="1:19" ht="12.75">
      <c r="A10" s="20" t="s">
        <v>17</v>
      </c>
      <c r="B10" s="101">
        <f t="shared" si="0"/>
        <v>0.6799395037840751</v>
      </c>
      <c r="C10" s="50">
        <f>E10-'[1]Italy'!$F10</f>
        <v>14842.25</v>
      </c>
      <c r="D10" s="1">
        <f>F10-'[1]Italy'!$F10</f>
        <v>-12919</v>
      </c>
      <c r="E10" s="114">
        <v>68590.25</v>
      </c>
      <c r="F10" s="148">
        <v>40829</v>
      </c>
      <c r="G10" s="148">
        <v>56094.15</v>
      </c>
      <c r="H10" s="1">
        <v>55712.185</v>
      </c>
      <c r="I10" s="76">
        <v>54815.795</v>
      </c>
      <c r="J10" s="95">
        <v>65226.170000000006</v>
      </c>
      <c r="K10" s="95">
        <v>68010</v>
      </c>
      <c r="L10" s="95">
        <v>52976</v>
      </c>
      <c r="M10" s="95">
        <v>31257</v>
      </c>
      <c r="N10" s="76">
        <v>42513.011401921656</v>
      </c>
      <c r="O10" s="76">
        <v>42678</v>
      </c>
      <c r="P10" s="76">
        <v>37782.28</v>
      </c>
      <c r="Q10" s="76">
        <v>37822.2</v>
      </c>
      <c r="R10" s="1">
        <v>23003.2</v>
      </c>
      <c r="S10" s="29">
        <v>30661</v>
      </c>
    </row>
    <row r="11" spans="1:19" ht="12.75">
      <c r="A11" s="20" t="s">
        <v>10</v>
      </c>
      <c r="B11" s="101"/>
      <c r="C11" s="50">
        <f>E11-'[1]Italy'!$F11</f>
        <v>0</v>
      </c>
      <c r="D11" s="1">
        <f>F11-'[1]Italy'!$F11</f>
        <v>0</v>
      </c>
      <c r="E11" s="114"/>
      <c r="F11" s="148">
        <v>0</v>
      </c>
      <c r="G11" s="148">
        <v>40</v>
      </c>
      <c r="H11" s="1">
        <v>797</v>
      </c>
      <c r="I11" s="76">
        <v>635</v>
      </c>
      <c r="J11" s="95">
        <v>1359.3</v>
      </c>
      <c r="K11" s="95">
        <v>644</v>
      </c>
      <c r="L11" s="95">
        <v>2103</v>
      </c>
      <c r="M11" s="95">
        <v>1830</v>
      </c>
      <c r="N11" s="76">
        <v>2024.4291143772218</v>
      </c>
      <c r="O11" s="76"/>
      <c r="P11" s="76">
        <v>2885.25</v>
      </c>
      <c r="Q11" s="76">
        <v>3320</v>
      </c>
      <c r="R11" s="1">
        <v>3335.8</v>
      </c>
      <c r="S11" s="29">
        <v>3714</v>
      </c>
    </row>
    <row r="12" spans="1:19" ht="12.75">
      <c r="A12" s="20" t="s">
        <v>27</v>
      </c>
      <c r="B12" s="101">
        <f t="shared" si="0"/>
        <v>-0.5117404986686033</v>
      </c>
      <c r="C12" s="50">
        <f>E12-'[1]Italy'!$F12</f>
        <v>-2163</v>
      </c>
      <c r="D12" s="1">
        <f>F12-'[1]Italy'!$F12</f>
        <v>-49</v>
      </c>
      <c r="E12" s="114">
        <v>2017</v>
      </c>
      <c r="F12" s="148">
        <v>4131</v>
      </c>
      <c r="G12" s="148">
        <v>4405.95</v>
      </c>
      <c r="H12" s="1">
        <v>3226</v>
      </c>
      <c r="I12" s="76">
        <v>4226</v>
      </c>
      <c r="J12" s="95">
        <v>7546.7</v>
      </c>
      <c r="K12" s="95">
        <v>7447</v>
      </c>
      <c r="L12" s="95">
        <v>9984</v>
      </c>
      <c r="M12" s="95">
        <v>6901</v>
      </c>
      <c r="N12" s="76">
        <v>10692.393178856722</v>
      </c>
      <c r="O12" s="76"/>
      <c r="P12" s="76">
        <v>15364.66</v>
      </c>
      <c r="Q12" s="76">
        <v>15768</v>
      </c>
      <c r="R12" s="1">
        <v>16755.2</v>
      </c>
      <c r="S12" s="29">
        <v>14892</v>
      </c>
    </row>
    <row r="13" spans="1:19" ht="12.75">
      <c r="A13" s="20" t="s">
        <v>50</v>
      </c>
      <c r="B13" s="101"/>
      <c r="C13" s="50">
        <f>E13-'[1]Italy'!$F13</f>
        <v>0</v>
      </c>
      <c r="D13" s="1">
        <f>F13-'[1]Italy'!$F13</f>
        <v>0</v>
      </c>
      <c r="E13" s="114"/>
      <c r="F13" s="148">
        <v>0</v>
      </c>
      <c r="G13" s="148">
        <v>0</v>
      </c>
      <c r="H13" s="1">
        <v>0</v>
      </c>
      <c r="I13" s="76">
        <v>0</v>
      </c>
      <c r="J13" s="95">
        <v>0</v>
      </c>
      <c r="K13" s="95">
        <v>12</v>
      </c>
      <c r="L13" s="95"/>
      <c r="M13" s="95"/>
      <c r="N13" s="76">
        <v>2.0043852617596256</v>
      </c>
      <c r="O13" s="76"/>
      <c r="P13" s="76">
        <v>2</v>
      </c>
      <c r="Q13" s="76">
        <v>42</v>
      </c>
      <c r="R13" s="1">
        <v>0</v>
      </c>
      <c r="S13" s="29">
        <v>24</v>
      </c>
    </row>
    <row r="14" spans="1:19" ht="12.75">
      <c r="A14" s="20" t="s">
        <v>106</v>
      </c>
      <c r="B14" s="101">
        <f t="shared" si="0"/>
        <v>0.3844413372314732</v>
      </c>
      <c r="C14" s="50">
        <f>E14-'[1]Italy'!$F14</f>
        <v>-343.60000000000036</v>
      </c>
      <c r="D14" s="1">
        <f>F14-'[1]Italy'!$F14</f>
        <v>-3368</v>
      </c>
      <c r="E14" s="114">
        <v>10891.4</v>
      </c>
      <c r="F14" s="148">
        <v>7867</v>
      </c>
      <c r="G14" s="148">
        <v>10759.900000000001</v>
      </c>
      <c r="H14" s="1">
        <v>5840.4</v>
      </c>
      <c r="I14" s="76">
        <v>11542.099999999999</v>
      </c>
      <c r="J14" s="95">
        <v>13492.05</v>
      </c>
      <c r="K14" s="95">
        <v>19319</v>
      </c>
      <c r="L14" s="95">
        <v>15744</v>
      </c>
      <c r="M14" s="95">
        <v>14963</v>
      </c>
      <c r="N14" s="76">
        <v>9340.435319799855</v>
      </c>
      <c r="O14" s="76">
        <v>24617</v>
      </c>
      <c r="P14" s="76">
        <v>14982.9</v>
      </c>
      <c r="Q14" s="76">
        <v>28339.9</v>
      </c>
      <c r="R14" s="1">
        <v>18434.7</v>
      </c>
      <c r="S14" s="29">
        <v>25194</v>
      </c>
    </row>
    <row r="15" spans="1:19" ht="12.75">
      <c r="A15" s="20" t="s">
        <v>13</v>
      </c>
      <c r="B15" s="101">
        <f t="shared" si="0"/>
        <v>0.27732586550389043</v>
      </c>
      <c r="C15" s="50">
        <f>E15-'[1]Italy'!$F15</f>
        <v>2662.699999999997</v>
      </c>
      <c r="D15" s="1">
        <f>F15-'[1]Italy'!$F15</f>
        <v>-4715</v>
      </c>
      <c r="E15" s="114">
        <v>33980.7</v>
      </c>
      <c r="F15" s="148">
        <v>26603</v>
      </c>
      <c r="G15" s="148">
        <v>26474.120000000003</v>
      </c>
      <c r="H15" s="1"/>
      <c r="I15" s="76"/>
      <c r="J15" s="95"/>
      <c r="K15" s="95"/>
      <c r="L15" s="95"/>
      <c r="M15" s="95"/>
      <c r="N15" s="76"/>
      <c r="O15" s="76"/>
      <c r="P15" s="76"/>
      <c r="Q15" s="76"/>
      <c r="R15" s="1"/>
      <c r="S15" s="29"/>
    </row>
    <row r="16" spans="1:19" ht="12.75">
      <c r="A16" s="20" t="s">
        <v>19</v>
      </c>
      <c r="B16" s="101">
        <f t="shared" si="0"/>
        <v>0.29433836873784125</v>
      </c>
      <c r="C16" s="50">
        <f>E16-'[1]Italy'!$F16</f>
        <v>-2019.3300000000017</v>
      </c>
      <c r="D16" s="1">
        <f>F16-'[1]Italy'!$F16</f>
        <v>-24563</v>
      </c>
      <c r="E16" s="114">
        <v>99134.67</v>
      </c>
      <c r="F16" s="148">
        <v>76591</v>
      </c>
      <c r="G16" s="148">
        <v>101783.61</v>
      </c>
      <c r="H16" s="1">
        <v>58765.02</v>
      </c>
      <c r="I16" s="76">
        <v>101763.83999999998</v>
      </c>
      <c r="J16" s="95">
        <v>90596.74</v>
      </c>
      <c r="K16" s="95">
        <v>90299</v>
      </c>
      <c r="L16" s="95">
        <v>91934</v>
      </c>
      <c r="M16" s="95">
        <v>64011</v>
      </c>
      <c r="N16" s="76">
        <v>77652.89161846053</v>
      </c>
      <c r="O16" s="76">
        <v>84957</v>
      </c>
      <c r="P16" s="76">
        <v>100588.14</v>
      </c>
      <c r="Q16" s="76">
        <v>80977.8</v>
      </c>
      <c r="R16" s="1">
        <v>60305.6</v>
      </c>
      <c r="S16" s="29">
        <v>89479</v>
      </c>
    </row>
    <row r="17" spans="1:19" ht="12.75">
      <c r="A17" s="20" t="s">
        <v>107</v>
      </c>
      <c r="B17" s="101">
        <f t="shared" si="0"/>
        <v>0.8761114282452336</v>
      </c>
      <c r="C17" s="50">
        <f>E17-'[1]Italy'!$F17</f>
        <v>5294.860000000001</v>
      </c>
      <c r="D17" s="1">
        <f>F17-'[1]Italy'!$F17</f>
        <v>-2379</v>
      </c>
      <c r="E17" s="114">
        <v>16432.86</v>
      </c>
      <c r="F17" s="148">
        <v>8759</v>
      </c>
      <c r="G17" s="148">
        <v>15787.9</v>
      </c>
      <c r="H17" s="1">
        <v>942</v>
      </c>
      <c r="I17" s="76">
        <v>12258.9</v>
      </c>
      <c r="J17" s="95">
        <v>11028.9</v>
      </c>
      <c r="K17" s="95">
        <v>11792</v>
      </c>
      <c r="L17" s="95">
        <v>9034</v>
      </c>
      <c r="M17" s="95">
        <v>5141</v>
      </c>
      <c r="N17" s="76">
        <v>5856.813734861626</v>
      </c>
      <c r="O17" s="76">
        <v>9193</v>
      </c>
      <c r="P17" s="76">
        <v>6688.91</v>
      </c>
      <c r="Q17" s="76">
        <v>4417.5</v>
      </c>
      <c r="R17" s="1">
        <v>8042.8</v>
      </c>
      <c r="S17" s="29">
        <v>2015</v>
      </c>
    </row>
    <row r="18" spans="1:19" ht="12.75">
      <c r="A18" s="20" t="s">
        <v>21</v>
      </c>
      <c r="B18" s="101"/>
      <c r="C18" s="50">
        <f>E18-'[1]Italy'!$F18</f>
        <v>0</v>
      </c>
      <c r="D18" s="1">
        <f>F18-'[1]Italy'!$F18</f>
        <v>0</v>
      </c>
      <c r="E18" s="114"/>
      <c r="F18" s="148"/>
      <c r="G18" s="148">
        <v>2480.05</v>
      </c>
      <c r="H18" s="1">
        <v>1695.01</v>
      </c>
      <c r="I18" s="76">
        <v>6154.400000000001</v>
      </c>
      <c r="J18" s="95">
        <v>6027.4</v>
      </c>
      <c r="K18" s="95">
        <v>6896</v>
      </c>
      <c r="L18" s="95">
        <v>4531</v>
      </c>
      <c r="M18" s="95">
        <v>2000</v>
      </c>
      <c r="N18" s="76">
        <v>5371.752501515796</v>
      </c>
      <c r="O18" s="76"/>
      <c r="P18" s="76">
        <v>3539.44</v>
      </c>
      <c r="Q18" s="76">
        <v>4640</v>
      </c>
      <c r="R18" s="1">
        <v>2344</v>
      </c>
      <c r="S18" s="29">
        <v>6490</v>
      </c>
    </row>
    <row r="19" spans="1:19" ht="13.5" thickBot="1">
      <c r="A19" s="22" t="s">
        <v>59</v>
      </c>
      <c r="B19" s="101">
        <f t="shared" si="0"/>
        <v>0.26469388244894043</v>
      </c>
      <c r="C19" s="51">
        <f>E19-'[1]Italy'!$F19</f>
        <v>-870</v>
      </c>
      <c r="D19" s="10">
        <f>F19-'[1]Italy'!$F19</f>
        <v>-11899</v>
      </c>
      <c r="E19" s="116">
        <f>9653+43043</f>
        <v>52696</v>
      </c>
      <c r="F19" s="149">
        <f>(6347+35320)</f>
        <v>41667</v>
      </c>
      <c r="G19" s="149">
        <v>43037.700000000004</v>
      </c>
      <c r="H19" s="10">
        <v>26136.480000000003</v>
      </c>
      <c r="I19" s="77">
        <v>50768.899999999994</v>
      </c>
      <c r="J19" s="96">
        <v>37638.1</v>
      </c>
      <c r="K19" s="96">
        <v>36655</v>
      </c>
      <c r="L19" s="96">
        <v>28697</v>
      </c>
      <c r="M19" s="96">
        <v>15824</v>
      </c>
      <c r="N19" s="77">
        <v>20626.126536137424</v>
      </c>
      <c r="O19" s="77">
        <v>36302</v>
      </c>
      <c r="P19" s="77">
        <v>54842.93</v>
      </c>
      <c r="Q19" s="77">
        <v>30129</v>
      </c>
      <c r="R19" s="10">
        <v>23711.5</v>
      </c>
      <c r="S19" s="31">
        <v>37869</v>
      </c>
    </row>
    <row r="20" spans="1:19" ht="13.5" thickBot="1">
      <c r="A20" s="32" t="s">
        <v>23</v>
      </c>
      <c r="B20" s="138">
        <f t="shared" si="0"/>
        <v>0.0642600670646845</v>
      </c>
      <c r="C20" s="70">
        <f>E20-'[1]Italy'!$F20</f>
        <v>-155340.51</v>
      </c>
      <c r="D20" s="34">
        <f>F20-'[1]Italy'!$F20</f>
        <v>-205530</v>
      </c>
      <c r="E20" s="117">
        <f>SUM(E2:E19)</f>
        <v>831226.49</v>
      </c>
      <c r="F20" s="150">
        <f>SUM(F2:F19)</f>
        <v>781037</v>
      </c>
      <c r="G20" s="150">
        <f>SUM(G2:G19)</f>
        <v>913478.0499999999</v>
      </c>
      <c r="H20" s="34">
        <f aca="true" t="shared" si="1" ref="H20:M20">SUM(H2:H19)</f>
        <v>504452.04000000004</v>
      </c>
      <c r="I20" s="34">
        <f t="shared" si="1"/>
        <v>933922.49</v>
      </c>
      <c r="J20" s="34">
        <f t="shared" si="1"/>
        <v>897466.4190000001</v>
      </c>
      <c r="K20" s="34">
        <f t="shared" si="1"/>
        <v>962008</v>
      </c>
      <c r="L20" s="34">
        <f t="shared" si="1"/>
        <v>825217</v>
      </c>
      <c r="M20" s="34">
        <f t="shared" si="1"/>
        <v>679633</v>
      </c>
      <c r="N20" s="34">
        <f aca="true" t="shared" si="2" ref="N20:S20">SUM(N2:N19)</f>
        <v>831416</v>
      </c>
      <c r="O20" s="34">
        <f t="shared" si="2"/>
        <v>822832</v>
      </c>
      <c r="P20" s="34">
        <f t="shared" si="2"/>
        <v>840631.6600000001</v>
      </c>
      <c r="Q20" s="34">
        <f t="shared" si="2"/>
        <v>835001.9</v>
      </c>
      <c r="R20" s="34">
        <f t="shared" si="2"/>
        <v>683634.2999999999</v>
      </c>
      <c r="S20" s="35">
        <f t="shared" si="2"/>
        <v>731399</v>
      </c>
    </row>
    <row r="21" spans="2:9" ht="12.75">
      <c r="B21" s="36"/>
      <c r="C21" s="36"/>
      <c r="D21" s="36"/>
      <c r="E21" s="36"/>
      <c r="F21" s="151"/>
      <c r="G21" s="151"/>
      <c r="H21" s="36"/>
      <c r="I21" s="36"/>
    </row>
    <row r="22" spans="2:9" ht="13.5" thickBot="1">
      <c r="B22" s="36"/>
      <c r="C22" s="36"/>
      <c r="D22" s="36"/>
      <c r="E22" s="36"/>
      <c r="F22" s="151"/>
      <c r="G22" s="151"/>
      <c r="H22" s="36"/>
      <c r="I22" s="36"/>
    </row>
    <row r="23" spans="1:19" ht="13.5" thickBot="1">
      <c r="A23" s="23" t="s">
        <v>25</v>
      </c>
      <c r="B23" s="24" t="s">
        <v>175</v>
      </c>
      <c r="C23" s="49" t="s">
        <v>176</v>
      </c>
      <c r="D23" s="25" t="s">
        <v>170</v>
      </c>
      <c r="E23" s="115">
        <v>44256</v>
      </c>
      <c r="F23" s="147">
        <v>43891</v>
      </c>
      <c r="G23" s="147">
        <v>43525</v>
      </c>
      <c r="H23" s="25">
        <v>43160</v>
      </c>
      <c r="I23" s="25">
        <v>42795</v>
      </c>
      <c r="J23" s="25">
        <v>42430</v>
      </c>
      <c r="K23" s="25">
        <f>K1</f>
        <v>42064</v>
      </c>
      <c r="L23" s="25">
        <v>41699</v>
      </c>
      <c r="M23" s="25">
        <v>41334</v>
      </c>
      <c r="N23" s="25">
        <v>40969</v>
      </c>
      <c r="O23" s="25">
        <v>40603</v>
      </c>
      <c r="P23" s="25">
        <v>40238</v>
      </c>
      <c r="Q23" s="25">
        <v>39873</v>
      </c>
      <c r="R23" s="25">
        <v>39508</v>
      </c>
      <c r="S23" s="26">
        <v>39142</v>
      </c>
    </row>
    <row r="24" spans="1:19" ht="12.75">
      <c r="A24" s="20" t="s">
        <v>104</v>
      </c>
      <c r="B24" s="27"/>
      <c r="C24" s="50">
        <f>E24-'[1]Italy'!$F24</f>
        <v>25199.046504577756</v>
      </c>
      <c r="D24" s="1">
        <f>F24-'[1]Italy'!$F24</f>
        <v>-24378.061257814883</v>
      </c>
      <c r="E24" s="114">
        <v>49577.10776239264</v>
      </c>
      <c r="F24" s="162">
        <v>0</v>
      </c>
      <c r="G24" s="162">
        <v>63971.90559162183</v>
      </c>
      <c r="H24" s="1">
        <v>82765.7457965124</v>
      </c>
      <c r="I24" s="98">
        <v>56635.80844432218</v>
      </c>
      <c r="J24" s="98">
        <v>63566.175721179985</v>
      </c>
      <c r="K24" s="98">
        <v>65796.12928259857</v>
      </c>
      <c r="L24" s="98">
        <v>73948.3762489267</v>
      </c>
      <c r="M24" s="38">
        <v>30464.01314123448</v>
      </c>
      <c r="N24" s="1">
        <v>87525.45502855544</v>
      </c>
      <c r="O24" s="1">
        <v>25464.53642822471</v>
      </c>
      <c r="P24" s="1">
        <v>33070.82653016196</v>
      </c>
      <c r="Q24" s="1">
        <v>20931</v>
      </c>
      <c r="R24" s="1">
        <v>8378</v>
      </c>
      <c r="S24" s="29">
        <v>27801</v>
      </c>
    </row>
    <row r="25" spans="1:19" ht="12.75">
      <c r="A25" s="20" t="s">
        <v>7</v>
      </c>
      <c r="B25" s="27"/>
      <c r="C25" s="50">
        <f>E25-'[1]Italy'!$F25</f>
        <v>2607.0704599674445</v>
      </c>
      <c r="D25" s="1">
        <f>F25-'[1]Italy'!$F25</f>
        <v>-9605.0178002344</v>
      </c>
      <c r="E25" s="114">
        <v>12212.088260201845</v>
      </c>
      <c r="F25" s="162">
        <v>0</v>
      </c>
      <c r="G25" s="162">
        <v>22640.97582456173</v>
      </c>
      <c r="H25" s="1">
        <v>24457.94760372863</v>
      </c>
      <c r="I25" s="98">
        <v>21211.651397401653</v>
      </c>
      <c r="J25" s="98">
        <v>31769.674962783454</v>
      </c>
      <c r="K25" s="98">
        <v>29549.375871377833</v>
      </c>
      <c r="L25" s="98">
        <v>37826.081641877216</v>
      </c>
      <c r="M25" s="38">
        <v>34920.59330522384</v>
      </c>
      <c r="N25" s="1">
        <v>61416.97938267644</v>
      </c>
      <c r="O25" s="1">
        <v>28285.076094824028</v>
      </c>
      <c r="P25" s="1">
        <v>49622.94051723514</v>
      </c>
      <c r="Q25" s="1">
        <v>42778</v>
      </c>
      <c r="R25" s="1">
        <v>42656</v>
      </c>
      <c r="S25" s="29">
        <v>47170</v>
      </c>
    </row>
    <row r="26" spans="1:19" ht="12.75">
      <c r="A26" s="20" t="s">
        <v>105</v>
      </c>
      <c r="B26" s="27"/>
      <c r="C26" s="50">
        <f>E26-'[1]Italy'!$F26</f>
        <v>-780.6062294443304</v>
      </c>
      <c r="D26" s="1">
        <f>F26-'[1]Italy'!$F26</f>
        <v>-1928.5246099663095</v>
      </c>
      <c r="E26" s="114">
        <v>1147.918380521979</v>
      </c>
      <c r="F26" s="162">
        <v>0</v>
      </c>
      <c r="G26" s="162">
        <v>2214.321294506093</v>
      </c>
      <c r="H26" s="1">
        <v>1211.5613424476735</v>
      </c>
      <c r="I26" s="98">
        <v>670.2297869127591</v>
      </c>
      <c r="J26" s="98">
        <v>3307.257567721162</v>
      </c>
      <c r="K26" s="98">
        <v>3025.3591556187307</v>
      </c>
      <c r="L26" s="98">
        <v>4140.484817910364</v>
      </c>
      <c r="M26" s="38">
        <v>880.6793897797454</v>
      </c>
      <c r="N26" s="1">
        <v>10242.812779541362</v>
      </c>
      <c r="O26" s="1">
        <v>1587.8603849661736</v>
      </c>
      <c r="P26" s="1">
        <v>10585.73589977449</v>
      </c>
      <c r="Q26" s="1">
        <v>2126</v>
      </c>
      <c r="R26" s="1">
        <v>7667</v>
      </c>
      <c r="S26" s="29">
        <v>7952</v>
      </c>
    </row>
    <row r="27" spans="1:19" ht="12.75">
      <c r="A27" s="20" t="s">
        <v>30</v>
      </c>
      <c r="B27" s="27"/>
      <c r="C27" s="50">
        <f>E27-'[1]Italy'!$F27</f>
        <v>9185.630874165283</v>
      </c>
      <c r="D27" s="1">
        <f>F27-'[1]Italy'!$F27</f>
        <v>-4735.9795352877745</v>
      </c>
      <c r="E27" s="114">
        <v>13921.610409453058</v>
      </c>
      <c r="F27" s="162">
        <v>0</v>
      </c>
      <c r="G27" s="162">
        <v>9278.716231429176</v>
      </c>
      <c r="H27" s="1">
        <v>11662.43145458616</v>
      </c>
      <c r="I27" s="98">
        <v>7825.822915042118</v>
      </c>
      <c r="J27" s="98">
        <v>16380.43736138309</v>
      </c>
      <c r="K27" s="98">
        <v>5832.126376392991</v>
      </c>
      <c r="L27" s="98">
        <v>21296.53202654039</v>
      </c>
      <c r="M27" s="38">
        <v>7182.867267192909</v>
      </c>
      <c r="N27" s="1">
        <v>16595.353059931193</v>
      </c>
      <c r="O27" s="1">
        <v>5428.271733957789</v>
      </c>
      <c r="P27" s="1">
        <v>16449.308284720573</v>
      </c>
      <c r="Q27" s="1">
        <v>3441</v>
      </c>
      <c r="R27" s="1">
        <v>6807</v>
      </c>
      <c r="S27" s="29">
        <v>10465</v>
      </c>
    </row>
    <row r="28" spans="1:19" ht="13.5" thickBot="1">
      <c r="A28" s="30" t="s">
        <v>59</v>
      </c>
      <c r="B28" s="27"/>
      <c r="C28" s="51">
        <f>E28-'[1]Italy'!$F28</f>
        <v>-469.5758200289629</v>
      </c>
      <c r="D28" s="10">
        <f>F28-'[1]Italy'!$F28</f>
        <v>-5582.67237671917</v>
      </c>
      <c r="E28" s="116">
        <v>5113.096556690207</v>
      </c>
      <c r="F28" s="163">
        <v>0</v>
      </c>
      <c r="G28" s="163">
        <v>4021.704797961837</v>
      </c>
      <c r="H28" s="10">
        <v>2565</v>
      </c>
      <c r="I28" s="99">
        <v>2200</v>
      </c>
      <c r="J28" s="99">
        <v>2165.3913246874586</v>
      </c>
      <c r="K28" s="99">
        <v>1336.514031032</v>
      </c>
      <c r="L28" s="99">
        <v>6448.583775814246</v>
      </c>
      <c r="M28" s="37">
        <v>1243.2719654343978</v>
      </c>
      <c r="N28" s="10">
        <v>1208.953994402445</v>
      </c>
      <c r="O28" s="10">
        <v>1163.1466136153258</v>
      </c>
      <c r="P28" s="10">
        <v>3877.155378717753</v>
      </c>
      <c r="Q28" s="10">
        <v>1124</v>
      </c>
      <c r="R28" s="10">
        <v>512</v>
      </c>
      <c r="S28" s="31">
        <v>528</v>
      </c>
    </row>
    <row r="29" spans="1:19" ht="13.5" thickBot="1">
      <c r="A29" s="32" t="s">
        <v>23</v>
      </c>
      <c r="B29" s="143"/>
      <c r="C29" s="70">
        <f>E29-'[1]Italy'!$F29</f>
        <v>35741.565789237175</v>
      </c>
      <c r="D29" s="34">
        <f>F29-'[1]Italy'!$F29</f>
        <v>-46230.255580022545</v>
      </c>
      <c r="E29" s="117">
        <f>SUM(E24:E28)</f>
        <v>81971.82136925972</v>
      </c>
      <c r="F29" s="150">
        <v>0</v>
      </c>
      <c r="G29" s="150">
        <f>SUM(G24:G28)</f>
        <v>102127.62374008067</v>
      </c>
      <c r="H29" s="34">
        <f>SUM(H24:H28)</f>
        <v>122662.68619727486</v>
      </c>
      <c r="I29" s="100">
        <v>88543.51254367872</v>
      </c>
      <c r="J29" s="100">
        <v>117188.93693775515</v>
      </c>
      <c r="K29" s="100">
        <f>SUM(K24:K28)</f>
        <v>105539.50471702013</v>
      </c>
      <c r="L29" s="100">
        <f>SUM(L24:L28)</f>
        <v>143660.0585110689</v>
      </c>
      <c r="M29" s="34">
        <f>SUM(M24:M28)</f>
        <v>74691.42506886537</v>
      </c>
      <c r="N29" s="34">
        <f aca="true" t="shared" si="3" ref="N29:S29">SUM(N24:N28)</f>
        <v>176989.5542451069</v>
      </c>
      <c r="O29" s="34">
        <f t="shared" si="3"/>
        <v>61928.89125558802</v>
      </c>
      <c r="P29" s="34">
        <f t="shared" si="3"/>
        <v>113605.9666106099</v>
      </c>
      <c r="Q29" s="34">
        <f t="shared" si="3"/>
        <v>70400</v>
      </c>
      <c r="R29" s="34">
        <f t="shared" si="3"/>
        <v>66020</v>
      </c>
      <c r="S29" s="35">
        <f t="shared" si="3"/>
        <v>93916</v>
      </c>
    </row>
    <row r="30" ht="12.75">
      <c r="H30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5"/>
      <c r="S45" s="1"/>
      <c r="T45" s="1"/>
    </row>
    <row r="46" spans="18:20" ht="18">
      <c r="R46" s="6"/>
      <c r="S46" s="1"/>
      <c r="T46" s="1"/>
    </row>
    <row r="47" spans="18:20" ht="18">
      <c r="R47" s="7"/>
      <c r="S47" s="2"/>
      <c r="T4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E22" sqref="E22"/>
    </sheetView>
  </sheetViews>
  <sheetFormatPr defaultColWidth="8.8515625" defaultRowHeight="12.75"/>
  <cols>
    <col min="1" max="1" width="19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9" width="10.140625" style="0" bestFit="1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40" t="s">
        <v>4</v>
      </c>
      <c r="B2" s="101"/>
      <c r="C2" s="137">
        <f>E2-'[1]Poland'!E2</f>
        <v>0</v>
      </c>
      <c r="D2" s="1">
        <f>F2-'[1]Poland'!F2</f>
        <v>0</v>
      </c>
      <c r="E2" s="114"/>
      <c r="F2" s="148"/>
      <c r="G2" s="148"/>
      <c r="H2" s="1"/>
      <c r="I2" s="1"/>
      <c r="J2" s="1"/>
      <c r="K2" s="1"/>
      <c r="L2" s="1"/>
      <c r="M2" s="1"/>
      <c r="N2" s="1"/>
      <c r="O2" s="1"/>
      <c r="P2" s="1">
        <v>1000</v>
      </c>
      <c r="Q2" s="1">
        <v>0</v>
      </c>
      <c r="R2" s="1">
        <v>0</v>
      </c>
      <c r="S2" s="29">
        <v>0</v>
      </c>
    </row>
    <row r="3" spans="1:19" ht="12.75">
      <c r="A3" s="40" t="s">
        <v>33</v>
      </c>
      <c r="B3" s="101"/>
      <c r="C3" s="50">
        <f>E3-'[1]Poland'!E3</f>
        <v>0</v>
      </c>
      <c r="D3" s="1">
        <f>F3-'[1]Poland'!F3</f>
        <v>0</v>
      </c>
      <c r="E3" s="114"/>
      <c r="F3" s="148"/>
      <c r="G3" s="148"/>
      <c r="H3" s="1"/>
      <c r="I3" s="1"/>
      <c r="J3" s="1"/>
      <c r="K3" s="1">
        <v>0</v>
      </c>
      <c r="L3" s="1">
        <v>0</v>
      </c>
      <c r="M3" s="1">
        <v>500</v>
      </c>
      <c r="N3" s="1">
        <v>500</v>
      </c>
      <c r="O3" s="1">
        <v>5000</v>
      </c>
      <c r="P3" s="1">
        <v>10000</v>
      </c>
      <c r="Q3" s="1">
        <v>3000</v>
      </c>
      <c r="R3" s="1">
        <v>2000</v>
      </c>
      <c r="S3" s="29">
        <v>10000</v>
      </c>
    </row>
    <row r="4" spans="1:19" ht="12.75">
      <c r="A4" s="20" t="s">
        <v>2</v>
      </c>
      <c r="B4" s="101"/>
      <c r="C4" s="50">
        <f>E4-'[1]Poland'!E4</f>
        <v>0</v>
      </c>
      <c r="D4" s="1">
        <f>F4-'[1]Poland'!F4</f>
        <v>0</v>
      </c>
      <c r="E4" s="114"/>
      <c r="F4" s="148"/>
      <c r="G4" s="148"/>
      <c r="H4" s="1"/>
      <c r="I4" s="1"/>
      <c r="J4" s="1"/>
      <c r="K4" s="1">
        <v>0</v>
      </c>
      <c r="L4" s="1">
        <v>0</v>
      </c>
      <c r="M4" s="1">
        <v>500</v>
      </c>
      <c r="N4" s="1">
        <v>500</v>
      </c>
      <c r="O4" s="1"/>
      <c r="P4" s="1">
        <v>6000</v>
      </c>
      <c r="Q4" s="1">
        <v>3000</v>
      </c>
      <c r="R4" s="1">
        <v>1000</v>
      </c>
      <c r="S4" s="29">
        <v>500</v>
      </c>
    </row>
    <row r="5" spans="1:19" ht="12.75">
      <c r="A5" s="20" t="s">
        <v>9</v>
      </c>
      <c r="B5" s="101">
        <f aca="true" t="shared" si="0" ref="B5:B18">(E5-F5)/F5</f>
        <v>1.1666666666666667</v>
      </c>
      <c r="C5" s="50">
        <f>E5-'[1]Poland'!E5</f>
        <v>-15000</v>
      </c>
      <c r="D5" s="1">
        <f>F5-'[1]Poland'!F5</f>
        <v>-40000</v>
      </c>
      <c r="E5" s="114">
        <v>65000</v>
      </c>
      <c r="F5" s="148">
        <v>30000</v>
      </c>
      <c r="G5" s="148">
        <v>50000</v>
      </c>
      <c r="H5" s="1">
        <v>20000</v>
      </c>
      <c r="I5" s="1">
        <v>20000</v>
      </c>
      <c r="J5" s="1">
        <v>25000</v>
      </c>
      <c r="K5" s="1">
        <v>25000</v>
      </c>
      <c r="L5" s="1">
        <v>40000</v>
      </c>
      <c r="M5" s="1">
        <v>15000</v>
      </c>
      <c r="N5" s="1">
        <v>20000</v>
      </c>
      <c r="O5" s="1">
        <v>40000</v>
      </c>
      <c r="P5" s="1">
        <v>45000</v>
      </c>
      <c r="Q5" s="1">
        <v>30000</v>
      </c>
      <c r="R5" s="1">
        <v>20000</v>
      </c>
      <c r="S5" s="29">
        <v>20000</v>
      </c>
    </row>
    <row r="6" spans="1:19" ht="12.75">
      <c r="A6" s="20" t="s">
        <v>14</v>
      </c>
      <c r="B6" s="101">
        <f t="shared" si="0"/>
        <v>0.1</v>
      </c>
      <c r="C6" s="50">
        <f>E6-'[1]Poland'!E6</f>
        <v>-10000</v>
      </c>
      <c r="D6" s="1">
        <f>F6-'[1]Poland'!F6</f>
        <v>-15000</v>
      </c>
      <c r="E6" s="114">
        <v>55000</v>
      </c>
      <c r="F6" s="148">
        <v>50000</v>
      </c>
      <c r="G6" s="148">
        <v>65000</v>
      </c>
      <c r="H6" s="1">
        <v>65000</v>
      </c>
      <c r="I6" s="1">
        <v>65000</v>
      </c>
      <c r="J6" s="1">
        <v>60000</v>
      </c>
      <c r="K6" s="1">
        <v>60000</v>
      </c>
      <c r="L6" s="1">
        <v>60000</v>
      </c>
      <c r="M6" s="1">
        <v>60000</v>
      </c>
      <c r="N6" s="1">
        <v>50000</v>
      </c>
      <c r="O6" s="1">
        <v>10000</v>
      </c>
      <c r="P6" s="1">
        <v>10000</v>
      </c>
      <c r="Q6" s="1">
        <v>5000</v>
      </c>
      <c r="R6" s="1">
        <v>7000</v>
      </c>
      <c r="S6" s="29">
        <v>12000</v>
      </c>
    </row>
    <row r="7" spans="1:19" ht="12.75">
      <c r="A7" s="20" t="s">
        <v>3</v>
      </c>
      <c r="B7" s="101">
        <f t="shared" si="0"/>
        <v>0.0625</v>
      </c>
      <c r="C7" s="50">
        <f>E7-'[1]Poland'!E7</f>
        <v>-15000</v>
      </c>
      <c r="D7" s="1">
        <f>F7-'[1]Poland'!F7</f>
        <v>-10000</v>
      </c>
      <c r="E7" s="114">
        <v>85000</v>
      </c>
      <c r="F7" s="148">
        <v>80000</v>
      </c>
      <c r="G7" s="148">
        <v>105000</v>
      </c>
      <c r="H7" s="1">
        <v>105000</v>
      </c>
      <c r="I7" s="76">
        <v>115000</v>
      </c>
      <c r="J7" s="76">
        <v>120000</v>
      </c>
      <c r="K7" s="76">
        <v>110000</v>
      </c>
      <c r="L7" s="76">
        <v>100000</v>
      </c>
      <c r="M7" s="76">
        <v>90000</v>
      </c>
      <c r="N7" s="76">
        <v>70000</v>
      </c>
      <c r="O7" s="76">
        <v>40000</v>
      </c>
      <c r="P7" s="76">
        <v>55000</v>
      </c>
      <c r="Q7" s="76">
        <v>60000</v>
      </c>
      <c r="R7" s="1">
        <v>33000</v>
      </c>
      <c r="S7" s="29">
        <v>32000</v>
      </c>
    </row>
    <row r="8" spans="1:19" ht="12.75">
      <c r="A8" s="20" t="s">
        <v>10</v>
      </c>
      <c r="B8" s="101">
        <f t="shared" si="0"/>
        <v>0.5454545454545454</v>
      </c>
      <c r="C8" s="50">
        <f>E8-'[1]Poland'!E8</f>
        <v>-30000</v>
      </c>
      <c r="D8" s="1">
        <f>F8-'[1]Poland'!F8</f>
        <v>-20000</v>
      </c>
      <c r="E8" s="114">
        <v>170000</v>
      </c>
      <c r="F8" s="148">
        <v>110000</v>
      </c>
      <c r="G8" s="148">
        <v>230000</v>
      </c>
      <c r="H8" s="1">
        <v>90000</v>
      </c>
      <c r="I8" s="76">
        <v>220000</v>
      </c>
      <c r="J8" s="76">
        <v>220000</v>
      </c>
      <c r="K8" s="76">
        <v>190000</v>
      </c>
      <c r="L8" s="76">
        <v>170000</v>
      </c>
      <c r="M8" s="76">
        <v>170000</v>
      </c>
      <c r="N8" s="76">
        <v>150000</v>
      </c>
      <c r="O8" s="76">
        <v>70000</v>
      </c>
      <c r="P8" s="76">
        <v>80000</v>
      </c>
      <c r="Q8" s="76">
        <v>110000</v>
      </c>
      <c r="R8" s="1">
        <v>25000</v>
      </c>
      <c r="S8" s="29">
        <v>55000</v>
      </c>
    </row>
    <row r="9" spans="1:19" ht="12.75">
      <c r="A9" s="20" t="s">
        <v>27</v>
      </c>
      <c r="B9" s="101">
        <f t="shared" si="0"/>
        <v>2</v>
      </c>
      <c r="C9" s="50">
        <f>E9-'[1]Poland'!E9</f>
        <v>-20000</v>
      </c>
      <c r="D9" s="1">
        <f>F9-'[1]Poland'!F9</f>
        <v>-10000</v>
      </c>
      <c r="E9" s="114">
        <v>60000</v>
      </c>
      <c r="F9" s="148">
        <v>20000</v>
      </c>
      <c r="G9" s="148">
        <v>55000</v>
      </c>
      <c r="H9" s="1">
        <v>20000</v>
      </c>
      <c r="I9" s="76">
        <v>60000</v>
      </c>
      <c r="J9" s="76">
        <v>60000</v>
      </c>
      <c r="K9" s="76">
        <v>55000</v>
      </c>
      <c r="L9" s="76">
        <v>55000</v>
      </c>
      <c r="M9" s="76">
        <v>50000</v>
      </c>
      <c r="N9" s="76">
        <v>50000</v>
      </c>
      <c r="O9" s="76">
        <v>15000</v>
      </c>
      <c r="P9" s="76">
        <v>48000</v>
      </c>
      <c r="Q9" s="76">
        <v>10000</v>
      </c>
      <c r="R9" s="1">
        <v>1000</v>
      </c>
      <c r="S9" s="29">
        <v>6000</v>
      </c>
    </row>
    <row r="10" spans="1:19" ht="12.75">
      <c r="A10" s="20" t="s">
        <v>157</v>
      </c>
      <c r="B10" s="101">
        <f t="shared" si="0"/>
        <v>3.6666666666666665</v>
      </c>
      <c r="C10" s="50">
        <f>E10-'[1]Poland'!E10</f>
        <v>-20000</v>
      </c>
      <c r="D10" s="1">
        <f>F10-'[1]Poland'!F10</f>
        <v>-5000</v>
      </c>
      <c r="E10" s="114">
        <v>70000</v>
      </c>
      <c r="F10" s="148">
        <v>15000</v>
      </c>
      <c r="G10" s="148">
        <v>95000</v>
      </c>
      <c r="H10" s="1">
        <v>40000</v>
      </c>
      <c r="I10" s="76">
        <v>85000</v>
      </c>
      <c r="J10" s="76">
        <v>85000</v>
      </c>
      <c r="K10" s="76">
        <v>80000</v>
      </c>
      <c r="L10" s="76">
        <v>80000</v>
      </c>
      <c r="M10" s="76">
        <v>80000</v>
      </c>
      <c r="N10" s="76">
        <v>80000</v>
      </c>
      <c r="O10" s="76"/>
      <c r="P10" s="76">
        <v>2000</v>
      </c>
      <c r="Q10" s="76">
        <v>2000</v>
      </c>
      <c r="R10" s="1">
        <v>0</v>
      </c>
      <c r="S10" s="29">
        <v>0</v>
      </c>
    </row>
    <row r="11" spans="1:19" ht="12.75">
      <c r="A11" s="40" t="s">
        <v>34</v>
      </c>
      <c r="B11" s="101"/>
      <c r="C11" s="50">
        <f>E11-'[1]Poland'!E11</f>
        <v>0</v>
      </c>
      <c r="D11" s="1">
        <f>F11-'[1]Poland'!F11</f>
        <v>0</v>
      </c>
      <c r="E11" s="114"/>
      <c r="F11" s="148"/>
      <c r="G11" s="148"/>
      <c r="H11" s="1"/>
      <c r="I11" s="76"/>
      <c r="J11" s="76"/>
      <c r="K11" s="76">
        <v>0</v>
      </c>
      <c r="L11" s="76">
        <v>0</v>
      </c>
      <c r="M11" s="76">
        <v>0</v>
      </c>
      <c r="N11" s="76">
        <v>500</v>
      </c>
      <c r="O11" s="76">
        <v>15000</v>
      </c>
      <c r="P11" s="76">
        <v>40000</v>
      </c>
      <c r="Q11" s="76">
        <v>15000</v>
      </c>
      <c r="R11" s="1">
        <v>10000</v>
      </c>
      <c r="S11" s="29">
        <v>20000</v>
      </c>
    </row>
    <row r="12" spans="1:19" ht="12.75">
      <c r="A12" s="40" t="s">
        <v>13</v>
      </c>
      <c r="B12" s="101">
        <f t="shared" si="0"/>
        <v>2</v>
      </c>
      <c r="C12" s="50">
        <f>E12-'[1]Poland'!E12</f>
        <v>-10000</v>
      </c>
      <c r="D12" s="1">
        <f>F12-'[1]Poland'!F12</f>
        <v>-2000</v>
      </c>
      <c r="E12" s="114">
        <v>15000</v>
      </c>
      <c r="F12" s="148">
        <v>5000</v>
      </c>
      <c r="G12" s="148">
        <v>15000</v>
      </c>
      <c r="H12" s="1">
        <v>4000</v>
      </c>
      <c r="I12" s="76">
        <v>4000</v>
      </c>
      <c r="J12" s="76">
        <v>4000</v>
      </c>
      <c r="K12" s="76">
        <v>4000</v>
      </c>
      <c r="L12" s="76">
        <v>5000</v>
      </c>
      <c r="M12" s="76"/>
      <c r="N12" s="76"/>
      <c r="O12" s="76"/>
      <c r="P12" s="76">
        <v>2000</v>
      </c>
      <c r="Q12" s="76">
        <v>0</v>
      </c>
      <c r="R12" s="1">
        <v>0</v>
      </c>
      <c r="S12" s="29">
        <v>0</v>
      </c>
    </row>
    <row r="13" spans="1:19" ht="12.75">
      <c r="A13" s="40" t="s">
        <v>19</v>
      </c>
      <c r="B13" s="101">
        <f t="shared" si="0"/>
        <v>2.5</v>
      </c>
      <c r="C13" s="50">
        <f>E13-'[1]Poland'!E13</f>
        <v>-8000</v>
      </c>
      <c r="D13" s="1">
        <f>F13-'[1]Poland'!F13</f>
        <v>-5000</v>
      </c>
      <c r="E13" s="114">
        <v>7000</v>
      </c>
      <c r="F13" s="148">
        <v>2000</v>
      </c>
      <c r="G13" s="148"/>
      <c r="H13" s="1"/>
      <c r="I13" s="76"/>
      <c r="J13" s="76"/>
      <c r="K13" s="76">
        <v>0</v>
      </c>
      <c r="L13" s="76">
        <v>0</v>
      </c>
      <c r="M13" s="76">
        <v>0</v>
      </c>
      <c r="N13" s="76">
        <v>500</v>
      </c>
      <c r="O13" s="76"/>
      <c r="P13" s="76">
        <v>5000</v>
      </c>
      <c r="Q13" s="76">
        <v>5000</v>
      </c>
      <c r="R13" s="1">
        <v>3000</v>
      </c>
      <c r="S13" s="29">
        <v>2000</v>
      </c>
    </row>
    <row r="14" spans="1:19" ht="12.75">
      <c r="A14" s="40" t="s">
        <v>134</v>
      </c>
      <c r="B14" s="101">
        <f t="shared" si="0"/>
        <v>0.6</v>
      </c>
      <c r="C14" s="50">
        <f>E14-'[1]Poland'!E14</f>
        <v>-30000</v>
      </c>
      <c r="D14" s="1">
        <f>F14-'[1]Poland'!F14</f>
        <v>-15000</v>
      </c>
      <c r="E14" s="114">
        <v>80000</v>
      </c>
      <c r="F14" s="148">
        <v>50000</v>
      </c>
      <c r="G14" s="148">
        <v>0</v>
      </c>
      <c r="H14" s="1"/>
      <c r="I14" s="76"/>
      <c r="J14" s="76"/>
      <c r="K14" s="76"/>
      <c r="L14" s="76"/>
      <c r="M14" s="76"/>
      <c r="N14" s="76"/>
      <c r="O14" s="76"/>
      <c r="P14" s="76"/>
      <c r="Q14" s="76"/>
      <c r="R14" s="1"/>
      <c r="S14" s="29"/>
    </row>
    <row r="15" spans="1:19" ht="12.75">
      <c r="A15" s="40" t="s">
        <v>89</v>
      </c>
      <c r="B15" s="101">
        <f t="shared" si="0"/>
        <v>0.3333333333333333</v>
      </c>
      <c r="C15" s="50">
        <f>E15-'[1]Poland'!E15</f>
        <v>-20000</v>
      </c>
      <c r="D15" s="1">
        <f>F15-'[1]Poland'!F15</f>
        <v>-20000</v>
      </c>
      <c r="E15" s="114">
        <v>80000</v>
      </c>
      <c r="F15" s="148">
        <v>60000</v>
      </c>
      <c r="G15" s="148">
        <v>130000</v>
      </c>
      <c r="H15" s="1">
        <v>60000</v>
      </c>
      <c r="I15" s="76">
        <v>110000</v>
      </c>
      <c r="J15" s="76">
        <v>110000</v>
      </c>
      <c r="K15" s="76">
        <v>100000</v>
      </c>
      <c r="L15" s="76">
        <v>110000</v>
      </c>
      <c r="M15" s="76">
        <v>80000</v>
      </c>
      <c r="N15" s="76">
        <v>80000</v>
      </c>
      <c r="O15" s="76">
        <v>40000</v>
      </c>
      <c r="P15" s="76">
        <v>30000</v>
      </c>
      <c r="Q15" s="76">
        <v>35000</v>
      </c>
      <c r="R15" s="1">
        <v>15000</v>
      </c>
      <c r="S15" s="29">
        <v>25000</v>
      </c>
    </row>
    <row r="16" spans="1:19" ht="12.75">
      <c r="A16" s="40" t="s">
        <v>35</v>
      </c>
      <c r="B16" s="101"/>
      <c r="C16" s="50">
        <f>E16-'[1]Poland'!E16</f>
        <v>0</v>
      </c>
      <c r="D16" s="1">
        <f>F16-'[1]Poland'!F16</f>
        <v>0</v>
      </c>
      <c r="E16" s="114"/>
      <c r="F16" s="148"/>
      <c r="G16" s="148">
        <v>35000</v>
      </c>
      <c r="H16" s="1"/>
      <c r="I16" s="76"/>
      <c r="J16" s="76"/>
      <c r="K16" s="76"/>
      <c r="L16" s="76"/>
      <c r="M16" s="76"/>
      <c r="N16" s="76"/>
      <c r="O16" s="76"/>
      <c r="P16" s="76">
        <v>1000</v>
      </c>
      <c r="Q16" s="76">
        <v>2000</v>
      </c>
      <c r="R16" s="1">
        <v>0</v>
      </c>
      <c r="S16" s="29">
        <v>0</v>
      </c>
    </row>
    <row r="17" spans="1:19" ht="13.5" thickBot="1">
      <c r="A17" s="22" t="s">
        <v>59</v>
      </c>
      <c r="B17" s="101">
        <f t="shared" si="0"/>
        <v>2</v>
      </c>
      <c r="C17" s="51">
        <f>E17-'[1]Poland'!E17</f>
        <v>-50000</v>
      </c>
      <c r="D17" s="10">
        <f>F17-'[1]Poland'!F17</f>
        <v>-20000</v>
      </c>
      <c r="E17" s="116">
        <v>150000</v>
      </c>
      <c r="F17" s="149">
        <v>50000</v>
      </c>
      <c r="G17" s="149">
        <v>160000</v>
      </c>
      <c r="H17" s="10">
        <v>60000</v>
      </c>
      <c r="I17" s="77">
        <v>120000</v>
      </c>
      <c r="J17" s="77">
        <v>120000</v>
      </c>
      <c r="K17" s="77">
        <v>100000</v>
      </c>
      <c r="L17" s="77">
        <v>60000</v>
      </c>
      <c r="M17" s="77">
        <v>60000</v>
      </c>
      <c r="N17" s="77">
        <v>68000</v>
      </c>
      <c r="O17" s="77">
        <v>15000</v>
      </c>
      <c r="P17" s="77">
        <v>15000</v>
      </c>
      <c r="Q17" s="77">
        <v>10000</v>
      </c>
      <c r="R17" s="10">
        <v>23000</v>
      </c>
      <c r="S17" s="31">
        <v>17500</v>
      </c>
    </row>
    <row r="18" spans="1:19" ht="13.5" thickBot="1">
      <c r="A18" s="32" t="s">
        <v>23</v>
      </c>
      <c r="B18" s="138">
        <f t="shared" si="0"/>
        <v>0.7733050847457628</v>
      </c>
      <c r="C18" s="70">
        <f>E18-'[1]Poland'!E18</f>
        <v>-228000</v>
      </c>
      <c r="D18" s="34">
        <f>F18-'[1]Poland'!F18</f>
        <v>-162000</v>
      </c>
      <c r="E18" s="117">
        <f>SUM(E2:E17)</f>
        <v>837000</v>
      </c>
      <c r="F18" s="150">
        <v>472000</v>
      </c>
      <c r="G18" s="150">
        <f>SUM(G5:G17)</f>
        <v>940000</v>
      </c>
      <c r="H18" s="34">
        <f>SUM(H5:H17)</f>
        <v>464000</v>
      </c>
      <c r="I18" s="34">
        <v>799000</v>
      </c>
      <c r="J18" s="34">
        <f>SUM(J2:J17)</f>
        <v>804000</v>
      </c>
      <c r="K18" s="34">
        <f>SUM(K2:K17)</f>
        <v>724000</v>
      </c>
      <c r="L18" s="34">
        <f>SUM(L2:L17)</f>
        <v>680000</v>
      </c>
      <c r="M18" s="34">
        <f>SUM(M2:M17)</f>
        <v>606000</v>
      </c>
      <c r="N18" s="34">
        <f aca="true" t="shared" si="1" ref="N18:S18">SUM(N2:N17)</f>
        <v>570000</v>
      </c>
      <c r="O18" s="34">
        <f t="shared" si="1"/>
        <v>250000</v>
      </c>
      <c r="P18" s="34">
        <f t="shared" si="1"/>
        <v>350000</v>
      </c>
      <c r="Q18" s="34">
        <f t="shared" si="1"/>
        <v>290000</v>
      </c>
      <c r="R18" s="34">
        <f t="shared" si="1"/>
        <v>140000</v>
      </c>
      <c r="S18" s="35">
        <f t="shared" si="1"/>
        <v>200000</v>
      </c>
    </row>
    <row r="19" spans="2:9" ht="12.75">
      <c r="B19" s="36"/>
      <c r="C19" s="36"/>
      <c r="D19" s="36"/>
      <c r="E19" s="36"/>
      <c r="F19" s="151"/>
      <c r="G19" s="151"/>
      <c r="H19" s="36"/>
      <c r="I19" s="36"/>
    </row>
    <row r="20" spans="2:9" ht="13.5" thickBot="1">
      <c r="B20" s="36"/>
      <c r="C20" s="36"/>
      <c r="D20" s="36"/>
      <c r="E20" s="36"/>
      <c r="F20" s="151"/>
      <c r="G20" s="151"/>
      <c r="H20" s="36"/>
      <c r="I20" s="36"/>
    </row>
    <row r="21" spans="1:19" ht="13.5" thickBot="1">
      <c r="A21" s="23" t="s">
        <v>25</v>
      </c>
      <c r="B21" s="24" t="s">
        <v>175</v>
      </c>
      <c r="C21" s="49" t="s">
        <v>176</v>
      </c>
      <c r="D21" s="25" t="s">
        <v>170</v>
      </c>
      <c r="E21" s="115">
        <v>44256</v>
      </c>
      <c r="F21" s="147">
        <v>43891</v>
      </c>
      <c r="G21" s="147">
        <v>43525</v>
      </c>
      <c r="H21" s="25">
        <v>43160</v>
      </c>
      <c r="I21" s="25">
        <v>42795</v>
      </c>
      <c r="J21" s="25">
        <v>42430</v>
      </c>
      <c r="K21" s="25">
        <f>K1</f>
        <v>42064</v>
      </c>
      <c r="L21" s="25">
        <v>41699</v>
      </c>
      <c r="M21" s="25">
        <v>41334</v>
      </c>
      <c r="N21" s="25">
        <v>40969</v>
      </c>
      <c r="O21" s="25">
        <v>40603</v>
      </c>
      <c r="P21" s="25">
        <v>40238</v>
      </c>
      <c r="Q21" s="25">
        <v>39873</v>
      </c>
      <c r="R21" s="25">
        <v>39508</v>
      </c>
      <c r="S21" s="26">
        <v>39142</v>
      </c>
    </row>
    <row r="22" spans="1:19" ht="12.75">
      <c r="A22" s="20" t="s">
        <v>7</v>
      </c>
      <c r="B22" s="27"/>
      <c r="C22" s="50">
        <f>E22-'[1]Poland'!E22</f>
        <v>-7000</v>
      </c>
      <c r="D22" s="1">
        <f>F22-'[1]Poland'!F22</f>
        <v>-1000</v>
      </c>
      <c r="E22" s="114">
        <v>2000</v>
      </c>
      <c r="F22" s="148">
        <v>0</v>
      </c>
      <c r="G22" s="148">
        <v>2000</v>
      </c>
      <c r="H22" s="1">
        <v>0</v>
      </c>
      <c r="I22" s="1">
        <v>0</v>
      </c>
      <c r="J22" s="1">
        <v>3000</v>
      </c>
      <c r="K22" s="1">
        <v>0</v>
      </c>
      <c r="L22" s="1">
        <v>5000</v>
      </c>
      <c r="M22" s="1">
        <v>0</v>
      </c>
      <c r="N22" s="1">
        <v>2500</v>
      </c>
      <c r="O22" s="1">
        <v>2000</v>
      </c>
      <c r="P22" s="1">
        <v>8000</v>
      </c>
      <c r="Q22" s="1">
        <v>3000</v>
      </c>
      <c r="R22" s="1">
        <v>1000</v>
      </c>
      <c r="S22" s="29">
        <v>5000</v>
      </c>
    </row>
    <row r="23" spans="1:19" ht="12.75">
      <c r="A23" s="40" t="s">
        <v>93</v>
      </c>
      <c r="B23" s="27"/>
      <c r="C23" s="50">
        <f>E23-'[1]Poland'!E23</f>
        <v>0</v>
      </c>
      <c r="D23" s="1">
        <f>F23-'[1]Poland'!F23</f>
        <v>0</v>
      </c>
      <c r="E23" s="114"/>
      <c r="F23" s="148">
        <v>0</v>
      </c>
      <c r="G23" s="148"/>
      <c r="H23" s="1">
        <v>0</v>
      </c>
      <c r="I23" s="1"/>
      <c r="J23" s="1">
        <v>0</v>
      </c>
      <c r="K23" s="1"/>
      <c r="L23" s="1"/>
      <c r="M23" s="1"/>
      <c r="N23" s="1"/>
      <c r="O23" s="1">
        <v>0</v>
      </c>
      <c r="P23" s="1">
        <v>0</v>
      </c>
      <c r="Q23" s="1">
        <v>0</v>
      </c>
      <c r="R23" s="1">
        <v>0</v>
      </c>
      <c r="S23" s="29">
        <v>0</v>
      </c>
    </row>
    <row r="24" spans="1:19" ht="13.5" thickBot="1">
      <c r="A24" s="30" t="s">
        <v>59</v>
      </c>
      <c r="B24" s="27"/>
      <c r="C24" s="51">
        <f>E24-'[1]Poland'!E24</f>
        <v>0</v>
      </c>
      <c r="D24" s="10">
        <f>F24-'[1]Poland'!F24</f>
        <v>0</v>
      </c>
      <c r="E24" s="116"/>
      <c r="F24" s="149">
        <v>0</v>
      </c>
      <c r="G24" s="149"/>
      <c r="H24" s="10">
        <v>0</v>
      </c>
      <c r="I24" s="10">
        <v>0</v>
      </c>
      <c r="J24" s="10">
        <v>0</v>
      </c>
      <c r="K24" s="10">
        <v>0</v>
      </c>
      <c r="L24" s="10">
        <v>1000</v>
      </c>
      <c r="M24" s="10">
        <v>0</v>
      </c>
      <c r="N24" s="10">
        <v>0</v>
      </c>
      <c r="O24" s="10">
        <v>1000</v>
      </c>
      <c r="P24" s="10">
        <v>1000</v>
      </c>
      <c r="Q24" s="10">
        <v>2000</v>
      </c>
      <c r="R24" s="10">
        <v>0</v>
      </c>
      <c r="S24" s="31">
        <v>1000</v>
      </c>
    </row>
    <row r="25" spans="1:19" ht="13.5" thickBot="1">
      <c r="A25" s="32" t="s">
        <v>23</v>
      </c>
      <c r="B25" s="143"/>
      <c r="C25" s="70">
        <f>E25-'[1]Poland'!E25</f>
        <v>-7000</v>
      </c>
      <c r="D25" s="34">
        <f>F25-'[1]Poland'!F25</f>
        <v>-1000</v>
      </c>
      <c r="E25" s="117">
        <f>SUM(E22:E24)</f>
        <v>2000</v>
      </c>
      <c r="F25" s="150">
        <v>0</v>
      </c>
      <c r="G25" s="150">
        <f>SUM(G22:G24)</f>
        <v>2000</v>
      </c>
      <c r="H25" s="34">
        <v>0</v>
      </c>
      <c r="I25" s="34">
        <v>0</v>
      </c>
      <c r="J25" s="34">
        <f>SUM(J22:J24)</f>
        <v>3000</v>
      </c>
      <c r="K25" s="34">
        <f>SUM(K22:K24)</f>
        <v>0</v>
      </c>
      <c r="L25" s="34">
        <f>SUM(L22:L24)</f>
        <v>6000</v>
      </c>
      <c r="M25" s="34">
        <f>SUM(M22:M24)</f>
        <v>0</v>
      </c>
      <c r="N25" s="34">
        <f aca="true" t="shared" si="2" ref="N25:S25">SUM(N22:N24)</f>
        <v>2500</v>
      </c>
      <c r="O25" s="34">
        <f t="shared" si="2"/>
        <v>3000</v>
      </c>
      <c r="P25" s="34">
        <f t="shared" si="2"/>
        <v>9000</v>
      </c>
      <c r="Q25" s="34">
        <f t="shared" si="2"/>
        <v>5000</v>
      </c>
      <c r="R25" s="34">
        <f t="shared" si="2"/>
        <v>1000</v>
      </c>
      <c r="S25" s="35">
        <f t="shared" si="2"/>
        <v>6000</v>
      </c>
    </row>
    <row r="27" ht="12.75">
      <c r="A27" s="3" t="s">
        <v>172</v>
      </c>
    </row>
    <row r="28" ht="12.75">
      <c r="A28" s="3" t="s">
        <v>173</v>
      </c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6"/>
      <c r="S42" s="1"/>
      <c r="T42" s="1"/>
    </row>
    <row r="43" spans="18:20" ht="18">
      <c r="R43" s="7"/>
      <c r="S43" s="2"/>
      <c r="T4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2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6" width="11.28125" style="152" customWidth="1"/>
    <col min="7" max="8" width="11.28125" style="0" customWidth="1"/>
    <col min="9" max="17" width="10.7109375" style="0" customWidth="1"/>
  </cols>
  <sheetData>
    <row r="1" spans="1:17" ht="13.5" thickBot="1">
      <c r="A1" s="39" t="s">
        <v>91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6">
        <v>39873</v>
      </c>
    </row>
    <row r="2" spans="1:17" ht="12.75">
      <c r="A2" s="40" t="s">
        <v>9</v>
      </c>
      <c r="B2" s="47"/>
      <c r="C2" s="126"/>
      <c r="D2" s="38"/>
      <c r="E2" s="43"/>
      <c r="F2" s="145"/>
      <c r="G2" s="145"/>
      <c r="H2" s="38"/>
      <c r="I2" s="38"/>
      <c r="J2" s="38"/>
      <c r="K2" s="38"/>
      <c r="L2" s="38"/>
      <c r="M2" s="38"/>
      <c r="N2" s="38"/>
      <c r="O2" s="38"/>
      <c r="P2" s="38"/>
      <c r="Q2" s="65"/>
    </row>
    <row r="3" spans="1:17" ht="12.75">
      <c r="A3" s="40" t="s">
        <v>146</v>
      </c>
      <c r="B3" s="47"/>
      <c r="C3" s="126"/>
      <c r="D3" s="38"/>
      <c r="E3" s="43"/>
      <c r="F3" s="145"/>
      <c r="G3" s="145"/>
      <c r="H3" s="38"/>
      <c r="I3" s="38"/>
      <c r="J3" s="38"/>
      <c r="K3" s="38"/>
      <c r="L3" s="38"/>
      <c r="M3" s="38"/>
      <c r="N3" s="38"/>
      <c r="O3" s="38"/>
      <c r="P3" s="38"/>
      <c r="Q3" s="65"/>
    </row>
    <row r="4" spans="1:17" ht="12.75">
      <c r="A4" s="40" t="s">
        <v>27</v>
      </c>
      <c r="B4" s="47"/>
      <c r="C4" s="126"/>
      <c r="D4" s="38"/>
      <c r="E4" s="43"/>
      <c r="F4" s="145"/>
      <c r="G4" s="145"/>
      <c r="H4" s="38"/>
      <c r="I4" s="38"/>
      <c r="J4" s="38"/>
      <c r="K4" s="38"/>
      <c r="L4" s="38"/>
      <c r="M4" s="38"/>
      <c r="N4" s="38"/>
      <c r="O4" s="38"/>
      <c r="P4" s="38"/>
      <c r="Q4" s="65"/>
    </row>
    <row r="5" spans="1:17" ht="12.75">
      <c r="A5" s="40" t="s">
        <v>26</v>
      </c>
      <c r="B5" s="47"/>
      <c r="C5" s="126"/>
      <c r="D5" s="38"/>
      <c r="E5" s="43"/>
      <c r="F5" s="145"/>
      <c r="G5" s="145"/>
      <c r="H5" s="38"/>
      <c r="I5" s="38"/>
      <c r="J5" s="38"/>
      <c r="K5" s="38"/>
      <c r="L5" s="38"/>
      <c r="M5" s="38"/>
      <c r="N5" s="38"/>
      <c r="O5" s="38"/>
      <c r="P5" s="38"/>
      <c r="Q5" s="65"/>
    </row>
    <row r="6" spans="1:18" ht="12.75">
      <c r="A6" s="40" t="s">
        <v>19</v>
      </c>
      <c r="B6" s="47"/>
      <c r="C6" s="126"/>
      <c r="D6" s="38"/>
      <c r="E6" s="43"/>
      <c r="F6" s="145"/>
      <c r="G6" s="145"/>
      <c r="H6" s="38"/>
      <c r="I6" s="38"/>
      <c r="J6" s="38"/>
      <c r="K6" s="38"/>
      <c r="L6" s="38"/>
      <c r="M6" s="38"/>
      <c r="N6" s="38"/>
      <c r="O6" s="38"/>
      <c r="P6" s="38"/>
      <c r="Q6" s="65"/>
      <c r="R6" s="1"/>
    </row>
    <row r="7" spans="1:17" ht="12.75">
      <c r="A7" s="40" t="s">
        <v>88</v>
      </c>
      <c r="B7" s="47"/>
      <c r="C7" s="126"/>
      <c r="D7" s="38"/>
      <c r="E7" s="43"/>
      <c r="F7" s="145"/>
      <c r="G7" s="145"/>
      <c r="H7" s="38"/>
      <c r="I7" s="38"/>
      <c r="J7" s="38"/>
      <c r="K7" s="38"/>
      <c r="L7" s="38"/>
      <c r="M7" s="38"/>
      <c r="N7" s="38"/>
      <c r="O7" s="38"/>
      <c r="P7" s="38"/>
      <c r="Q7" s="65"/>
    </row>
    <row r="8" spans="1:17" ht="13.5" thickBot="1">
      <c r="A8" s="41" t="s">
        <v>6</v>
      </c>
      <c r="B8" s="48"/>
      <c r="C8" s="124"/>
      <c r="D8" s="38"/>
      <c r="E8" s="43"/>
      <c r="F8" s="145"/>
      <c r="G8" s="145"/>
      <c r="H8" s="38"/>
      <c r="I8" s="37"/>
      <c r="J8" s="38"/>
      <c r="K8" s="38"/>
      <c r="L8" s="38"/>
      <c r="M8" s="38"/>
      <c r="N8" s="38"/>
      <c r="O8" s="38"/>
      <c r="P8" s="38"/>
      <c r="Q8" s="65"/>
    </row>
    <row r="9" spans="1:17" ht="13.5" thickBot="1">
      <c r="A9" s="42" t="s">
        <v>92</v>
      </c>
      <c r="B9" s="75"/>
      <c r="C9" s="125"/>
      <c r="D9" s="46"/>
      <c r="E9" s="45"/>
      <c r="F9" s="146"/>
      <c r="G9" s="146"/>
      <c r="H9" s="46"/>
      <c r="I9" s="46"/>
      <c r="J9" s="46"/>
      <c r="K9" s="46"/>
      <c r="L9" s="46"/>
      <c r="M9" s="46"/>
      <c r="N9" s="46"/>
      <c r="O9" s="46"/>
      <c r="P9" s="46"/>
      <c r="Q9" s="86"/>
    </row>
    <row r="10" ht="12.75">
      <c r="G10" s="152"/>
    </row>
    <row r="11" spans="2:17" ht="13.5" thickBot="1">
      <c r="B11" s="3"/>
      <c r="C11" s="3"/>
      <c r="D11" s="3"/>
      <c r="E11" s="3"/>
      <c r="F11" s="155"/>
      <c r="G11" s="155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52" customFormat="1" ht="13.5" thickBot="1">
      <c r="A12" s="53" t="s">
        <v>91</v>
      </c>
      <c r="B12" s="24" t="s">
        <v>175</v>
      </c>
      <c r="C12" s="49" t="s">
        <v>176</v>
      </c>
      <c r="D12" s="25" t="s">
        <v>170</v>
      </c>
      <c r="E12" s="115">
        <v>44256</v>
      </c>
      <c r="F12" s="147">
        <v>43891</v>
      </c>
      <c r="G12" s="147">
        <v>43525</v>
      </c>
      <c r="H12" s="25">
        <v>43160</v>
      </c>
      <c r="I12" s="25">
        <v>42795</v>
      </c>
      <c r="J12" s="92">
        <v>42430</v>
      </c>
      <c r="K12" s="92">
        <f>K1</f>
        <v>42064</v>
      </c>
      <c r="L12" s="92">
        <v>41699</v>
      </c>
      <c r="M12" s="92">
        <v>41334</v>
      </c>
      <c r="N12" s="92">
        <v>40969</v>
      </c>
      <c r="O12" s="92">
        <v>40603</v>
      </c>
      <c r="P12" s="92">
        <v>40238</v>
      </c>
      <c r="Q12" s="93">
        <v>39873</v>
      </c>
    </row>
    <row r="13" spans="1:17" s="52" customFormat="1" ht="13.5" thickBot="1">
      <c r="A13" s="54" t="s">
        <v>147</v>
      </c>
      <c r="B13" s="55">
        <f>(E13-F13)/F13</f>
        <v>-1</v>
      </c>
      <c r="C13" s="134"/>
      <c r="D13" s="57">
        <f>F13-'[1]Portugal'!F13</f>
        <v>-19528</v>
      </c>
      <c r="E13" s="56"/>
      <c r="F13" s="153">
        <v>46875</v>
      </c>
      <c r="G13" s="153">
        <v>41335</v>
      </c>
      <c r="H13" s="57">
        <v>36205</v>
      </c>
      <c r="I13" s="57">
        <v>27028</v>
      </c>
      <c r="J13" s="57">
        <v>16378</v>
      </c>
      <c r="K13" s="57">
        <v>41422</v>
      </c>
      <c r="L13" s="57">
        <v>45904</v>
      </c>
      <c r="M13" s="57">
        <v>11886</v>
      </c>
      <c r="N13" s="57">
        <v>35230</v>
      </c>
      <c r="O13" s="57">
        <v>21516.4</v>
      </c>
      <c r="P13" s="57">
        <v>45419.69</v>
      </c>
      <c r="Q13" s="67">
        <v>22919.7</v>
      </c>
    </row>
    <row r="14" spans="1:17" s="52" customFormat="1" ht="13.5" thickBot="1">
      <c r="A14" s="53" t="s">
        <v>92</v>
      </c>
      <c r="B14" s="62">
        <f>(E14-F14)/F14</f>
        <v>-1</v>
      </c>
      <c r="C14" s="136"/>
      <c r="D14" s="80">
        <f>F14-'[1]Portugal'!F14</f>
        <v>-19528</v>
      </c>
      <c r="E14" s="63"/>
      <c r="F14" s="154">
        <f>SUM(F13)</f>
        <v>46875</v>
      </c>
      <c r="G14" s="154">
        <f>SUM(G13)</f>
        <v>41335</v>
      </c>
      <c r="H14" s="80">
        <v>36205</v>
      </c>
      <c r="I14" s="80">
        <v>27028</v>
      </c>
      <c r="J14" s="80">
        <f>SUM(J13)</f>
        <v>16378</v>
      </c>
      <c r="K14" s="80">
        <f>SUM(K13)</f>
        <v>41422</v>
      </c>
      <c r="L14" s="80">
        <f>SUM(L13)</f>
        <v>45904</v>
      </c>
      <c r="M14" s="80">
        <f>SUM(M13)</f>
        <v>11886</v>
      </c>
      <c r="N14" s="80">
        <f>SUM(N13)</f>
        <v>35230</v>
      </c>
      <c r="O14" s="80">
        <f>SUM(O13:O13)</f>
        <v>21516.4</v>
      </c>
      <c r="P14" s="80">
        <f>SUM(P13:P13)</f>
        <v>45419.69</v>
      </c>
      <c r="Q14" s="81">
        <f>SUM(Q13:Q13)</f>
        <v>22919.7</v>
      </c>
    </row>
    <row r="15" ht="12.75">
      <c r="A15" s="3" t="s">
        <v>161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E6" sqref="E6"/>
    </sheetView>
  </sheetViews>
  <sheetFormatPr defaultColWidth="8.8515625" defaultRowHeight="12.75"/>
  <cols>
    <col min="1" max="1" width="18.8515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9" width="10.140625" style="0" bestFit="1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20" t="s">
        <v>109</v>
      </c>
      <c r="B2" s="27">
        <f>(E2-F2)/F2</f>
        <v>-0.1902290217645438</v>
      </c>
      <c r="C2" s="50">
        <f>E2-'[1]Spain'!E2</f>
        <v>-2575.593774482868</v>
      </c>
      <c r="D2" s="1">
        <f>F2-'[1]Spain'!F2</f>
        <v>-3980.4891461105035</v>
      </c>
      <c r="E2" s="114">
        <v>13237.307737135809</v>
      </c>
      <c r="F2" s="148">
        <v>16346.97722309185</v>
      </c>
      <c r="G2" s="148">
        <v>17557</v>
      </c>
      <c r="H2" s="1">
        <v>11347</v>
      </c>
      <c r="I2" s="1">
        <v>16971.925544119375</v>
      </c>
      <c r="J2" s="1">
        <v>12322</v>
      </c>
      <c r="K2" s="1">
        <v>9545.094593527401</v>
      </c>
      <c r="L2" s="1">
        <v>12229.762115579553</v>
      </c>
      <c r="M2" s="1">
        <v>4215.845217117006</v>
      </c>
      <c r="N2" s="1">
        <v>7893.143592662221</v>
      </c>
      <c r="O2" s="1">
        <v>8207.239804759425</v>
      </c>
      <c r="P2" s="1">
        <v>6962.042369189284</v>
      </c>
      <c r="Q2" s="1">
        <v>8912</v>
      </c>
      <c r="R2" s="1">
        <v>9059</v>
      </c>
      <c r="S2" s="29">
        <v>3273</v>
      </c>
    </row>
    <row r="3" spans="1:19" ht="12.75">
      <c r="A3" s="20" t="s">
        <v>110</v>
      </c>
      <c r="B3" s="27">
        <f aca="true" t="shared" si="0" ref="B3:B8">(E3-F3)/F3</f>
        <v>0.4320654173417848</v>
      </c>
      <c r="C3" s="50">
        <f>E3-'[1]Spain'!E3</f>
        <v>-3780.949361667146</v>
      </c>
      <c r="D3" s="1">
        <f>F3-'[1]Spain'!F3</f>
        <v>-4533.310221857637</v>
      </c>
      <c r="E3" s="114">
        <v>3971.2664402623295</v>
      </c>
      <c r="F3" s="148">
        <v>2773.104072042908</v>
      </c>
      <c r="G3" s="148">
        <v>4143</v>
      </c>
      <c r="H3" s="1">
        <v>2597</v>
      </c>
      <c r="I3" s="1">
        <v>4802.194487411962</v>
      </c>
      <c r="J3" s="1">
        <v>2561</v>
      </c>
      <c r="K3" s="1">
        <v>3739.638620683493</v>
      </c>
      <c r="L3" s="1">
        <v>1157.9041672070416</v>
      </c>
      <c r="M3" s="1">
        <v>412.9094415014807</v>
      </c>
      <c r="N3" s="1">
        <v>1136.3663351247233</v>
      </c>
      <c r="O3" s="1">
        <v>1248.8519637793288</v>
      </c>
      <c r="P3" s="1">
        <v>1141.0592813986896</v>
      </c>
      <c r="Q3" s="1">
        <v>2734</v>
      </c>
      <c r="R3" s="1">
        <v>2596</v>
      </c>
      <c r="S3" s="29">
        <v>457</v>
      </c>
    </row>
    <row r="4" spans="1:19" ht="12.75">
      <c r="A4" s="20" t="s">
        <v>111</v>
      </c>
      <c r="B4" s="27">
        <f t="shared" si="0"/>
        <v>-0.49486751343941726</v>
      </c>
      <c r="C4" s="50">
        <f>E4-'[1]Spain'!E4</f>
        <v>-12546.281545816724</v>
      </c>
      <c r="D4" s="1">
        <f>F4-'[1]Spain'!F4</f>
        <v>-19135.402591191567</v>
      </c>
      <c r="E4" s="114">
        <v>62151.86986136143</v>
      </c>
      <c r="F4" s="148">
        <v>123040.72993710985</v>
      </c>
      <c r="G4" s="148">
        <v>88545</v>
      </c>
      <c r="H4" s="1">
        <v>80026</v>
      </c>
      <c r="I4" s="1">
        <v>112692.2032818414</v>
      </c>
      <c r="J4" s="1">
        <v>77258</v>
      </c>
      <c r="K4" s="1">
        <v>95460.7153005183</v>
      </c>
      <c r="L4" s="1">
        <v>82848.67342369401</v>
      </c>
      <c r="M4" s="1">
        <v>54462.38475622925</v>
      </c>
      <c r="N4" s="1">
        <v>99762.21516043897</v>
      </c>
      <c r="O4" s="1">
        <v>95114.3006262062</v>
      </c>
      <c r="P4" s="1">
        <v>76540.61242330354</v>
      </c>
      <c r="Q4" s="1">
        <v>100092</v>
      </c>
      <c r="R4" s="1">
        <v>79584</v>
      </c>
      <c r="S4" s="29">
        <v>70546</v>
      </c>
    </row>
    <row r="5" spans="1:19" ht="12.75">
      <c r="A5" s="20" t="s">
        <v>17</v>
      </c>
      <c r="B5" s="27">
        <f t="shared" si="0"/>
        <v>-0.22507853899364644</v>
      </c>
      <c r="C5" s="50">
        <f>E5-'[1]Spain'!E5</f>
        <v>-1664.5011340188757</v>
      </c>
      <c r="D5" s="1">
        <f>F5-'[1]Spain'!F5</f>
        <v>-4157.268215650929</v>
      </c>
      <c r="E5" s="114">
        <v>12463.886365624348</v>
      </c>
      <c r="F5" s="148">
        <v>16084.063989450096</v>
      </c>
      <c r="G5" s="148">
        <v>14422</v>
      </c>
      <c r="H5" s="1">
        <v>13559</v>
      </c>
      <c r="I5" s="1">
        <v>12903.401047627773</v>
      </c>
      <c r="J5" s="1">
        <v>10856</v>
      </c>
      <c r="K5" s="1">
        <v>8316.51011769936</v>
      </c>
      <c r="L5" s="1">
        <v>7348.464873005416</v>
      </c>
      <c r="M5" s="1">
        <v>5198.486219931814</v>
      </c>
      <c r="N5" s="1">
        <v>6363.428545425673</v>
      </c>
      <c r="O5" s="1">
        <v>2176.675882685425</v>
      </c>
      <c r="P5" s="1">
        <v>7183.057057932327</v>
      </c>
      <c r="Q5" s="1">
        <v>4699</v>
      </c>
      <c r="R5" s="1">
        <v>2523</v>
      </c>
      <c r="S5" s="29">
        <v>1962</v>
      </c>
    </row>
    <row r="6" spans="1:19" ht="12.75">
      <c r="A6" s="20" t="s">
        <v>19</v>
      </c>
      <c r="B6" s="27">
        <f t="shared" si="0"/>
        <v>-0.3602715109741384</v>
      </c>
      <c r="C6" s="50">
        <f>E6-'[1]Spain'!E6</f>
        <v>-1548.5567529899508</v>
      </c>
      <c r="D6" s="1">
        <f>F6-'[1]Spain'!F6</f>
        <v>-2225.955549350312</v>
      </c>
      <c r="E6" s="114">
        <v>8745.890586762584</v>
      </c>
      <c r="F6" s="148">
        <v>13671.253878470032</v>
      </c>
      <c r="G6" s="148">
        <v>12423</v>
      </c>
      <c r="H6" s="1">
        <v>10069</v>
      </c>
      <c r="I6" s="76">
        <v>9107.991162897491</v>
      </c>
      <c r="J6" s="76">
        <v>10770</v>
      </c>
      <c r="K6" s="76">
        <v>8453.63257713092</v>
      </c>
      <c r="L6" s="76">
        <v>5136.600307137367</v>
      </c>
      <c r="M6" s="76">
        <v>3941.038454879167</v>
      </c>
      <c r="N6" s="76">
        <v>7884.962260775161</v>
      </c>
      <c r="O6" s="76">
        <v>6868.403543121583</v>
      </c>
      <c r="P6" s="76">
        <v>6739.61552109884</v>
      </c>
      <c r="Q6" s="76">
        <v>16108</v>
      </c>
      <c r="R6" s="1">
        <v>9724</v>
      </c>
      <c r="S6" s="29">
        <v>9790</v>
      </c>
    </row>
    <row r="7" spans="1:19" ht="13.5" thickBot="1">
      <c r="A7" s="22" t="s">
        <v>59</v>
      </c>
      <c r="B7" s="27">
        <f t="shared" si="0"/>
        <v>-0.18481752839957258</v>
      </c>
      <c r="C7" s="51">
        <f>E7-'[1]Spain'!E7</f>
        <v>-3162.459999999999</v>
      </c>
      <c r="D7" s="10">
        <f>F7-'[1]Spain'!F7</f>
        <v>-3102.83</v>
      </c>
      <c r="E7" s="116">
        <v>12895.29</v>
      </c>
      <c r="F7" s="149">
        <v>15818.9</v>
      </c>
      <c r="G7" s="149">
        <v>8549</v>
      </c>
      <c r="H7" s="10">
        <v>7328</v>
      </c>
      <c r="I7" s="77">
        <v>7876.0375</v>
      </c>
      <c r="J7" s="77">
        <v>6829</v>
      </c>
      <c r="K7" s="77">
        <v>6990.532</v>
      </c>
      <c r="L7" s="77">
        <v>6324.737</v>
      </c>
      <c r="M7" s="77">
        <v>4617.23</v>
      </c>
      <c r="N7" s="77">
        <v>7615.54</v>
      </c>
      <c r="O7" s="77">
        <v>5319.49</v>
      </c>
      <c r="P7" s="77">
        <v>5101.92</v>
      </c>
      <c r="Q7" s="77">
        <v>5644</v>
      </c>
      <c r="R7" s="10">
        <v>4007</v>
      </c>
      <c r="S7" s="31">
        <v>5018</v>
      </c>
    </row>
    <row r="8" spans="1:19" ht="13.5" thickBot="1">
      <c r="A8" s="32" t="s">
        <v>23</v>
      </c>
      <c r="B8" s="143">
        <f t="shared" si="0"/>
        <v>-0.39560820623088006</v>
      </c>
      <c r="C8" s="70">
        <f>E8-'[1]Spain'!E8</f>
        <v>-25278.342568975582</v>
      </c>
      <c r="D8" s="34">
        <f>F8-'[1]Spain'!F8</f>
        <v>-37135.25572416096</v>
      </c>
      <c r="E8" s="117">
        <f>SUM(E2:E7)</f>
        <v>113465.5109911465</v>
      </c>
      <c r="F8" s="150">
        <f>SUM(F2:F7)</f>
        <v>187735.02910016474</v>
      </c>
      <c r="G8" s="150">
        <f>SUM(G2:G7)</f>
        <v>145639</v>
      </c>
      <c r="H8" s="34">
        <f aca="true" t="shared" si="1" ref="H8:M8">SUM(H2:H7)</f>
        <v>124926</v>
      </c>
      <c r="I8" s="34">
        <f t="shared" si="1"/>
        <v>164353.753023898</v>
      </c>
      <c r="J8" s="34">
        <f t="shared" si="1"/>
        <v>120596</v>
      </c>
      <c r="K8" s="34">
        <f t="shared" si="1"/>
        <v>132506.12320955948</v>
      </c>
      <c r="L8" s="34">
        <f t="shared" si="1"/>
        <v>115046.14188662339</v>
      </c>
      <c r="M8" s="34">
        <f t="shared" si="1"/>
        <v>72847.89408965872</v>
      </c>
      <c r="N8" s="34">
        <f aca="true" t="shared" si="2" ref="N8:S8">SUM(N2:N7)</f>
        <v>130655.65589442675</v>
      </c>
      <c r="O8" s="34">
        <f t="shared" si="2"/>
        <v>118934.96182055197</v>
      </c>
      <c r="P8" s="34">
        <f t="shared" si="2"/>
        <v>103668.30665292266</v>
      </c>
      <c r="Q8" s="34">
        <f t="shared" si="2"/>
        <v>138189</v>
      </c>
      <c r="R8" s="34">
        <f t="shared" si="2"/>
        <v>107493</v>
      </c>
      <c r="S8" s="35">
        <f t="shared" si="2"/>
        <v>91046</v>
      </c>
    </row>
    <row r="9" spans="2:8" ht="12.75">
      <c r="B9" s="36"/>
      <c r="C9" s="36"/>
      <c r="D9" s="36"/>
      <c r="E9" s="36"/>
      <c r="F9" s="151"/>
      <c r="G9" s="151"/>
      <c r="H9" s="36"/>
    </row>
    <row r="10" spans="2:8" ht="13.5" thickBot="1">
      <c r="B10" s="36"/>
      <c r="C10" s="36"/>
      <c r="D10" s="36"/>
      <c r="E10" s="36"/>
      <c r="F10" s="151"/>
      <c r="G10" s="151"/>
      <c r="H10" s="36"/>
    </row>
    <row r="11" spans="1:19" ht="13.5" thickBot="1">
      <c r="A11" s="23" t="s">
        <v>25</v>
      </c>
      <c r="B11" s="24" t="s">
        <v>175</v>
      </c>
      <c r="C11" s="49" t="s">
        <v>176</v>
      </c>
      <c r="D11" s="25" t="s">
        <v>170</v>
      </c>
      <c r="E11" s="115">
        <v>44256</v>
      </c>
      <c r="F11" s="147">
        <v>43891</v>
      </c>
      <c r="G11" s="147">
        <v>43525</v>
      </c>
      <c r="H11" s="25">
        <v>43160</v>
      </c>
      <c r="I11" s="25">
        <v>42795</v>
      </c>
      <c r="J11" s="25">
        <v>42430</v>
      </c>
      <c r="K11" s="25">
        <v>42064</v>
      </c>
      <c r="L11" s="25">
        <v>41699</v>
      </c>
      <c r="M11" s="25">
        <v>41334</v>
      </c>
      <c r="N11" s="25">
        <v>40969</v>
      </c>
      <c r="O11" s="25">
        <v>40603</v>
      </c>
      <c r="P11" s="25">
        <v>40238</v>
      </c>
      <c r="Q11" s="25">
        <v>39873</v>
      </c>
      <c r="R11" s="25">
        <v>39508</v>
      </c>
      <c r="S11" s="26">
        <v>39142</v>
      </c>
    </row>
    <row r="12" spans="1:19" ht="12.75">
      <c r="A12" s="20" t="s">
        <v>38</v>
      </c>
      <c r="B12" s="27">
        <f aca="true" t="shared" si="3" ref="B12:B17">(E12-F12)/F12</f>
        <v>-0.1726402491148151</v>
      </c>
      <c r="C12" s="50">
        <f>E12-'[1]Spain'!E12</f>
        <v>-1270.5224523666525</v>
      </c>
      <c r="D12" s="1">
        <f>F12-'[1]Spain'!F12</f>
        <v>-1257.209528221675</v>
      </c>
      <c r="E12" s="114">
        <v>1439.5018967474025</v>
      </c>
      <c r="F12" s="148">
        <v>1739.8742145811325</v>
      </c>
      <c r="G12" s="148">
        <v>1211</v>
      </c>
      <c r="H12" s="1">
        <v>2105</v>
      </c>
      <c r="I12" s="1">
        <v>2528.39777592101</v>
      </c>
      <c r="J12" s="1">
        <v>954</v>
      </c>
      <c r="K12" s="1">
        <v>1614.3769997815843</v>
      </c>
      <c r="L12" s="1">
        <v>4446.83399177372</v>
      </c>
      <c r="M12" s="1">
        <v>953.4943818389314</v>
      </c>
      <c r="N12" s="1">
        <v>5278.982664625848</v>
      </c>
      <c r="O12" s="1">
        <v>3088.7458971387505</v>
      </c>
      <c r="P12" s="1">
        <v>3773</v>
      </c>
      <c r="Q12" s="1">
        <v>1783</v>
      </c>
      <c r="R12" s="1">
        <v>1966</v>
      </c>
      <c r="S12" s="29">
        <v>5380</v>
      </c>
    </row>
    <row r="13" spans="1:19" ht="12.75">
      <c r="A13" s="20" t="s">
        <v>39</v>
      </c>
      <c r="B13" s="27">
        <f t="shared" si="3"/>
        <v>0.948976382146491</v>
      </c>
      <c r="C13" s="50">
        <f>E13-'[1]Spain'!E13</f>
        <v>-1539.2963535066897</v>
      </c>
      <c r="D13" s="1">
        <f>F13-'[1]Spain'!F13</f>
        <v>-2250.041129610535</v>
      </c>
      <c r="E13" s="114">
        <v>3431.3924933450667</v>
      </c>
      <c r="F13" s="148">
        <v>1760.6126604602193</v>
      </c>
      <c r="G13" s="148">
        <v>3402</v>
      </c>
      <c r="H13" s="1">
        <v>5310</v>
      </c>
      <c r="I13" s="1">
        <v>5247.742084920541</v>
      </c>
      <c r="J13" s="1">
        <v>3573</v>
      </c>
      <c r="K13" s="1">
        <v>8110.6676219501705</v>
      </c>
      <c r="L13" s="1">
        <v>6505.151968026735</v>
      </c>
      <c r="M13" s="1">
        <v>4468.618812013108</v>
      </c>
      <c r="N13" s="1">
        <v>8544.732027182179</v>
      </c>
      <c r="O13" s="1">
        <v>14159.694303670278</v>
      </c>
      <c r="P13" s="1">
        <v>12138</v>
      </c>
      <c r="Q13" s="1">
        <v>5261</v>
      </c>
      <c r="R13" s="1">
        <v>19348</v>
      </c>
      <c r="S13" s="29">
        <v>12961</v>
      </c>
    </row>
    <row r="14" spans="1:19" ht="12.75">
      <c r="A14" s="20" t="s">
        <v>7</v>
      </c>
      <c r="B14" s="27">
        <f t="shared" si="3"/>
        <v>-0.17662852228100398</v>
      </c>
      <c r="C14" s="50">
        <f>E14-'[1]Spain'!E14</f>
        <v>-10526.218966075954</v>
      </c>
      <c r="D14" s="1">
        <f>F14-'[1]Spain'!F14</f>
        <v>-6235.011116818612</v>
      </c>
      <c r="E14" s="114">
        <v>30540.121002930086</v>
      </c>
      <c r="F14" s="148">
        <v>37091.54595388226</v>
      </c>
      <c r="G14" s="148">
        <v>34320</v>
      </c>
      <c r="H14" s="1">
        <v>37149</v>
      </c>
      <c r="I14" s="1">
        <v>29924.11510659465</v>
      </c>
      <c r="J14" s="1">
        <v>35804</v>
      </c>
      <c r="K14" s="1">
        <v>39302.59799477746</v>
      </c>
      <c r="L14" s="1">
        <v>46904.797528960116</v>
      </c>
      <c r="M14" s="1">
        <v>21873.585816257426</v>
      </c>
      <c r="N14" s="1">
        <v>61467.78973919781</v>
      </c>
      <c r="O14" s="1">
        <v>54842.93259886789</v>
      </c>
      <c r="P14" s="1">
        <v>34517</v>
      </c>
      <c r="Q14" s="1">
        <v>46048</v>
      </c>
      <c r="R14" s="1">
        <v>28382</v>
      </c>
      <c r="S14" s="29">
        <v>40265</v>
      </c>
    </row>
    <row r="15" spans="1:19" ht="12.75">
      <c r="A15" s="20" t="s">
        <v>112</v>
      </c>
      <c r="B15" s="27">
        <f t="shared" si="3"/>
        <v>-1</v>
      </c>
      <c r="C15" s="50">
        <f>E15-'[1]Spain'!E15</f>
        <v>0</v>
      </c>
      <c r="D15" s="1">
        <f>F15-'[1]Spain'!F15</f>
        <v>0.1464038628572113</v>
      </c>
      <c r="E15" s="114">
        <v>0</v>
      </c>
      <c r="F15" s="148">
        <v>1.1464038628572113</v>
      </c>
      <c r="G15" s="148"/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17</v>
      </c>
      <c r="P15" s="1">
        <v>0</v>
      </c>
      <c r="Q15" s="1">
        <v>0</v>
      </c>
      <c r="R15" s="1">
        <v>17</v>
      </c>
      <c r="S15" s="29">
        <v>0</v>
      </c>
    </row>
    <row r="16" spans="1:19" ht="13.5" thickBot="1">
      <c r="A16" s="30" t="s">
        <v>59</v>
      </c>
      <c r="B16" s="27">
        <f t="shared" si="3"/>
        <v>-0.0646741350302175</v>
      </c>
      <c r="C16" s="51">
        <f>E16-'[1]Spain'!E16</f>
        <v>-739.7393700986422</v>
      </c>
      <c r="D16" s="10">
        <f>F16-'[1]Spain'!F16</f>
        <v>-1276.405189258663</v>
      </c>
      <c r="E16" s="116">
        <v>1125.4251515341675</v>
      </c>
      <c r="F16" s="149">
        <v>1203.2439106883103</v>
      </c>
      <c r="G16" s="149">
        <v>1163</v>
      </c>
      <c r="H16" s="10">
        <v>1712</v>
      </c>
      <c r="I16" s="10">
        <v>1606.589540433486</v>
      </c>
      <c r="J16" s="10">
        <v>1289</v>
      </c>
      <c r="K16" s="10">
        <v>1062.878587564896</v>
      </c>
      <c r="L16" s="10">
        <v>2747.120857449404</v>
      </c>
      <c r="M16" s="10">
        <v>651.86396541053</v>
      </c>
      <c r="N16" s="10">
        <v>3837.7970279995925</v>
      </c>
      <c r="O16" s="10">
        <v>2255</v>
      </c>
      <c r="P16" s="10">
        <v>2457</v>
      </c>
      <c r="Q16" s="10">
        <v>1651</v>
      </c>
      <c r="R16" s="10">
        <v>3731</v>
      </c>
      <c r="S16" s="31">
        <v>3848</v>
      </c>
    </row>
    <row r="17" spans="1:19" ht="13.5" thickBot="1">
      <c r="A17" s="32" t="s">
        <v>23</v>
      </c>
      <c r="B17" s="111">
        <f t="shared" si="3"/>
        <v>-0.1258476731576309</v>
      </c>
      <c r="C17" s="70">
        <f>E17-'[1]Spain'!E17</f>
        <v>-14075.777142047933</v>
      </c>
      <c r="D17" s="34">
        <f>F17-'[1]Spain'!F17</f>
        <v>-11018.520560046636</v>
      </c>
      <c r="E17" s="117">
        <f>SUM(E12:E16)</f>
        <v>36536.440544556724</v>
      </c>
      <c r="F17" s="150">
        <f>SUM(F12:F16)</f>
        <v>41796.42314347478</v>
      </c>
      <c r="G17" s="150">
        <f>SUM(G12:G16)</f>
        <v>40096</v>
      </c>
      <c r="H17" s="34">
        <f aca="true" t="shared" si="4" ref="H17:M17">SUM(H12:H16)</f>
        <v>46276</v>
      </c>
      <c r="I17" s="34">
        <f t="shared" si="4"/>
        <v>39306.84450786969</v>
      </c>
      <c r="J17" s="34">
        <f t="shared" si="4"/>
        <v>41620</v>
      </c>
      <c r="K17" s="34">
        <f t="shared" si="4"/>
        <v>50090.52120407411</v>
      </c>
      <c r="L17" s="34">
        <f t="shared" si="4"/>
        <v>60603.90434620997</v>
      </c>
      <c r="M17" s="34">
        <f t="shared" si="4"/>
        <v>27947.56297551999</v>
      </c>
      <c r="N17" s="34">
        <f aca="true" t="shared" si="5" ref="N17:S17">SUM(N12:N16)</f>
        <v>79129.30145900544</v>
      </c>
      <c r="O17" s="34">
        <f t="shared" si="5"/>
        <v>74363.37279967692</v>
      </c>
      <c r="P17" s="34">
        <f t="shared" si="5"/>
        <v>52885</v>
      </c>
      <c r="Q17" s="34">
        <f t="shared" si="5"/>
        <v>54743</v>
      </c>
      <c r="R17" s="34">
        <f t="shared" si="5"/>
        <v>53444</v>
      </c>
      <c r="S17" s="35">
        <f t="shared" si="5"/>
        <v>62454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E25" sqref="E25"/>
    </sheetView>
  </sheetViews>
  <sheetFormatPr defaultColWidth="8.8515625" defaultRowHeight="12.75"/>
  <cols>
    <col min="1" max="1" width="21.8515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9" width="10.140625" style="0" bestFit="1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20" t="s">
        <v>4</v>
      </c>
      <c r="B2" s="27">
        <f>(E2-F2)/F2</f>
        <v>0.3333333333333333</v>
      </c>
      <c r="C2" s="50">
        <f>E2-'[1]Switzerland'!E2</f>
        <v>-76</v>
      </c>
      <c r="D2" s="1">
        <f>F2-'[1]Switzerland'!F2</f>
        <v>-14</v>
      </c>
      <c r="E2" s="114">
        <v>4</v>
      </c>
      <c r="F2" s="148">
        <v>3</v>
      </c>
      <c r="G2" s="148">
        <f>24+20</f>
        <v>44</v>
      </c>
      <c r="H2" s="1">
        <v>0</v>
      </c>
      <c r="I2" s="1">
        <v>2</v>
      </c>
      <c r="J2" s="1">
        <v>1</v>
      </c>
      <c r="K2" s="1">
        <v>13</v>
      </c>
      <c r="L2" s="1">
        <v>1</v>
      </c>
      <c r="M2" s="1">
        <v>7</v>
      </c>
      <c r="N2" s="1">
        <v>33</v>
      </c>
      <c r="O2" s="1">
        <v>2</v>
      </c>
      <c r="P2" s="1">
        <v>5</v>
      </c>
      <c r="Q2" s="1">
        <v>202</v>
      </c>
      <c r="R2" s="1">
        <v>168</v>
      </c>
      <c r="S2" s="29">
        <v>41</v>
      </c>
    </row>
    <row r="3" spans="1:19" ht="12.75">
      <c r="A3" s="20" t="s">
        <v>11</v>
      </c>
      <c r="B3" s="27">
        <f aca="true" t="shared" si="0" ref="B3:B19">(E3-F3)/F3</f>
        <v>0.12424771888953601</v>
      </c>
      <c r="C3" s="50">
        <f>E3-'[1]Switzerland'!E3</f>
        <v>-1146</v>
      </c>
      <c r="D3" s="1">
        <f>F3-'[1]Switzerland'!F3</f>
        <v>-1073</v>
      </c>
      <c r="E3" s="114">
        <v>5791</v>
      </c>
      <c r="F3" s="148">
        <v>5151</v>
      </c>
      <c r="G3" s="148">
        <f>7098+207</f>
        <v>7305</v>
      </c>
      <c r="H3" s="1">
        <f>2222+40</f>
        <v>2262</v>
      </c>
      <c r="I3" s="1">
        <v>5756</v>
      </c>
      <c r="J3" s="1">
        <v>5870</v>
      </c>
      <c r="K3" s="1">
        <v>5712</v>
      </c>
      <c r="L3" s="1">
        <v>6067</v>
      </c>
      <c r="M3" s="1">
        <v>5689</v>
      </c>
      <c r="N3" s="1">
        <v>5980</v>
      </c>
      <c r="O3" s="1">
        <v>4785</v>
      </c>
      <c r="P3" s="1">
        <v>4974</v>
      </c>
      <c r="Q3" s="1">
        <v>3743</v>
      </c>
      <c r="R3" s="1">
        <v>3028</v>
      </c>
      <c r="S3" s="29">
        <v>2322</v>
      </c>
    </row>
    <row r="4" spans="1:19" ht="12.75">
      <c r="A4" s="20" t="s">
        <v>5</v>
      </c>
      <c r="B4" s="27"/>
      <c r="C4" s="50">
        <f>E4-'[1]Switzerland'!E4</f>
        <v>0</v>
      </c>
      <c r="D4" s="1">
        <f>F4-'[1]Switzerland'!F4</f>
        <v>-4</v>
      </c>
      <c r="E4" s="114">
        <v>0</v>
      </c>
      <c r="F4" s="148">
        <v>0</v>
      </c>
      <c r="G4" s="148">
        <f>41</f>
        <v>41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28</v>
      </c>
      <c r="O4" s="1">
        <v>0</v>
      </c>
      <c r="P4" s="1">
        <v>0</v>
      </c>
      <c r="Q4" s="1">
        <v>0</v>
      </c>
      <c r="R4" s="1">
        <v>0</v>
      </c>
      <c r="S4" s="29">
        <v>0</v>
      </c>
    </row>
    <row r="5" spans="1:19" ht="12.75">
      <c r="A5" s="20" t="s">
        <v>2</v>
      </c>
      <c r="B5" s="27"/>
      <c r="C5" s="50">
        <f>E5-'[1]Switzerland'!E5</f>
        <v>0</v>
      </c>
      <c r="D5" s="1">
        <f>F5-'[1]Switzerland'!F5</f>
        <v>0</v>
      </c>
      <c r="E5" s="114">
        <v>0</v>
      </c>
      <c r="F5" s="148">
        <v>0</v>
      </c>
      <c r="G5" s="148">
        <v>2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40</v>
      </c>
      <c r="O5" s="1">
        <v>0</v>
      </c>
      <c r="P5" s="1">
        <v>0</v>
      </c>
      <c r="Q5" s="1">
        <v>0</v>
      </c>
      <c r="R5" s="1">
        <v>1</v>
      </c>
      <c r="S5" s="29">
        <v>0</v>
      </c>
    </row>
    <row r="6" spans="1:19" ht="12.75">
      <c r="A6" s="20" t="s">
        <v>9</v>
      </c>
      <c r="B6" s="27">
        <f t="shared" si="0"/>
        <v>0.09877897199678293</v>
      </c>
      <c r="C6" s="50">
        <f>E6-'[1]Switzerland'!E6</f>
        <v>-2658</v>
      </c>
      <c r="D6" s="1">
        <f>F6-'[1]Switzerland'!F6</f>
        <v>-2941</v>
      </c>
      <c r="E6" s="114">
        <v>15028</v>
      </c>
      <c r="F6" s="148">
        <v>13677</v>
      </c>
      <c r="G6" s="148">
        <f>13542+711</f>
        <v>14253</v>
      </c>
      <c r="H6" s="1">
        <f>6397+93</f>
        <v>6490</v>
      </c>
      <c r="I6" s="1">
        <v>9596</v>
      </c>
      <c r="J6" s="1">
        <v>12332</v>
      </c>
      <c r="K6" s="1">
        <v>10441</v>
      </c>
      <c r="L6" s="1">
        <v>11534</v>
      </c>
      <c r="M6" s="1">
        <v>10135</v>
      </c>
      <c r="N6" s="1">
        <v>13860</v>
      </c>
      <c r="O6" s="1">
        <v>10943</v>
      </c>
      <c r="P6" s="1">
        <v>12334</v>
      </c>
      <c r="Q6" s="1">
        <v>7551</v>
      </c>
      <c r="R6" s="1">
        <v>10287</v>
      </c>
      <c r="S6" s="29">
        <v>7297</v>
      </c>
    </row>
    <row r="7" spans="1:19" ht="12.75">
      <c r="A7" s="20" t="s">
        <v>113</v>
      </c>
      <c r="B7" s="27">
        <f t="shared" si="0"/>
        <v>0.6923076923076923</v>
      </c>
      <c r="C7" s="50">
        <f>E7-'[1]Switzerland'!E7</f>
        <v>-13</v>
      </c>
      <c r="D7" s="1">
        <f>F7-'[1]Switzerland'!F7</f>
        <v>-22</v>
      </c>
      <c r="E7" s="114">
        <v>44</v>
      </c>
      <c r="F7" s="148">
        <v>26</v>
      </c>
      <c r="G7" s="148">
        <f>71+40</f>
        <v>111</v>
      </c>
      <c r="H7" s="1">
        <v>22</v>
      </c>
      <c r="I7" s="1">
        <v>80</v>
      </c>
      <c r="J7" s="1">
        <v>110</v>
      </c>
      <c r="K7" s="1">
        <v>48</v>
      </c>
      <c r="L7" s="1">
        <v>124</v>
      </c>
      <c r="M7" s="1">
        <v>125</v>
      </c>
      <c r="N7" s="1">
        <v>107</v>
      </c>
      <c r="O7" s="1">
        <v>474</v>
      </c>
      <c r="P7" s="1">
        <v>179</v>
      </c>
      <c r="Q7" s="1">
        <v>509</v>
      </c>
      <c r="R7" s="1">
        <v>377</v>
      </c>
      <c r="S7" s="29">
        <v>513</v>
      </c>
    </row>
    <row r="8" spans="1:19" ht="12.75">
      <c r="A8" s="20" t="s">
        <v>3</v>
      </c>
      <c r="B8" s="27">
        <f t="shared" si="0"/>
        <v>-0.11491775382870108</v>
      </c>
      <c r="C8" s="50">
        <f>E8-'[1]Switzerland'!E8</f>
        <v>-1075</v>
      </c>
      <c r="D8" s="1">
        <f>F8-'[1]Switzerland'!F8</f>
        <v>-1386</v>
      </c>
      <c r="E8" s="114">
        <v>7802</v>
      </c>
      <c r="F8" s="148">
        <v>8815</v>
      </c>
      <c r="G8" s="148">
        <f>7789+116</f>
        <v>7905</v>
      </c>
      <c r="H8" s="1">
        <v>7377</v>
      </c>
      <c r="I8" s="76">
        <v>11211</v>
      </c>
      <c r="J8" s="76">
        <v>9073</v>
      </c>
      <c r="K8" s="76">
        <v>10219</v>
      </c>
      <c r="L8" s="76">
        <v>8766</v>
      </c>
      <c r="M8" s="76">
        <v>11844</v>
      </c>
      <c r="N8" s="76">
        <v>11330</v>
      </c>
      <c r="O8" s="76">
        <v>13317</v>
      </c>
      <c r="P8" s="76">
        <v>14304</v>
      </c>
      <c r="Q8" s="76">
        <v>14703</v>
      </c>
      <c r="R8" s="1">
        <v>15022</v>
      </c>
      <c r="S8" s="29">
        <v>15607</v>
      </c>
    </row>
    <row r="9" spans="1:19" ht="12.75">
      <c r="A9" s="20" t="s">
        <v>17</v>
      </c>
      <c r="B9" s="27">
        <f t="shared" si="0"/>
        <v>-0.14173228346456693</v>
      </c>
      <c r="C9" s="50">
        <f>E9-'[1]Switzerland'!E9</f>
        <v>-87</v>
      </c>
      <c r="D9" s="1">
        <f>F9-'[1]Switzerland'!F9</f>
        <v>-98</v>
      </c>
      <c r="E9" s="114">
        <v>109</v>
      </c>
      <c r="F9" s="148">
        <v>127</v>
      </c>
      <c r="G9" s="148">
        <f>147</f>
        <v>147</v>
      </c>
      <c r="H9" s="1">
        <v>122</v>
      </c>
      <c r="I9" s="76">
        <v>133</v>
      </c>
      <c r="J9" s="76">
        <v>63</v>
      </c>
      <c r="K9" s="76">
        <v>139</v>
      </c>
      <c r="L9" s="76">
        <v>67</v>
      </c>
      <c r="M9" s="76">
        <v>91</v>
      </c>
      <c r="N9" s="76">
        <v>31</v>
      </c>
      <c r="O9" s="76">
        <v>139</v>
      </c>
      <c r="P9" s="76">
        <v>17</v>
      </c>
      <c r="Q9" s="76">
        <v>136</v>
      </c>
      <c r="R9" s="1">
        <v>6</v>
      </c>
      <c r="S9" s="29">
        <v>1</v>
      </c>
    </row>
    <row r="10" spans="1:19" ht="12.75">
      <c r="A10" s="20" t="s">
        <v>10</v>
      </c>
      <c r="B10" s="27">
        <f t="shared" si="0"/>
        <v>1.0656565656565657</v>
      </c>
      <c r="C10" s="50">
        <f>E10-'[1]Switzerland'!E10</f>
        <v>-63</v>
      </c>
      <c r="D10" s="1">
        <f>F10-'[1]Switzerland'!F10</f>
        <v>-54</v>
      </c>
      <c r="E10" s="114">
        <v>409</v>
      </c>
      <c r="F10" s="148">
        <v>198</v>
      </c>
      <c r="G10" s="148">
        <f>232+110</f>
        <v>342</v>
      </c>
      <c r="H10" s="1">
        <v>34</v>
      </c>
      <c r="I10" s="76">
        <v>389</v>
      </c>
      <c r="J10" s="76">
        <v>842</v>
      </c>
      <c r="K10" s="76">
        <v>875</v>
      </c>
      <c r="L10" s="76">
        <v>1416</v>
      </c>
      <c r="M10" s="76">
        <v>1357</v>
      </c>
      <c r="N10" s="76">
        <v>771</v>
      </c>
      <c r="O10" s="76">
        <v>2476</v>
      </c>
      <c r="P10" s="76">
        <v>1759</v>
      </c>
      <c r="Q10" s="76">
        <v>2630</v>
      </c>
      <c r="R10" s="1">
        <v>1459</v>
      </c>
      <c r="S10" s="29">
        <v>2885</v>
      </c>
    </row>
    <row r="11" spans="1:19" ht="12.75">
      <c r="A11" s="20" t="s">
        <v>27</v>
      </c>
      <c r="B11" s="27">
        <f t="shared" si="0"/>
        <v>-0.4804134929270947</v>
      </c>
      <c r="C11" s="50">
        <f>E11-'[1]Switzerland'!E11</f>
        <v>-297</v>
      </c>
      <c r="D11" s="1">
        <f>F11-'[1]Switzerland'!F11</f>
        <v>-307</v>
      </c>
      <c r="E11" s="114">
        <v>955</v>
      </c>
      <c r="F11" s="148">
        <v>1838</v>
      </c>
      <c r="G11" s="148">
        <f>1619+110</f>
        <v>1729</v>
      </c>
      <c r="H11" s="1">
        <v>68</v>
      </c>
      <c r="I11" s="76">
        <v>2495</v>
      </c>
      <c r="J11" s="76">
        <v>1891</v>
      </c>
      <c r="K11" s="76">
        <v>2300</v>
      </c>
      <c r="L11" s="76">
        <v>2377</v>
      </c>
      <c r="M11" s="76">
        <v>2361</v>
      </c>
      <c r="N11" s="76">
        <v>2876</v>
      </c>
      <c r="O11" s="76">
        <v>2138</v>
      </c>
      <c r="P11" s="76">
        <v>2748</v>
      </c>
      <c r="Q11" s="76">
        <v>2957</v>
      </c>
      <c r="R11" s="1">
        <v>2810</v>
      </c>
      <c r="S11" s="29">
        <v>3145</v>
      </c>
    </row>
    <row r="12" spans="1:19" ht="12.75">
      <c r="A12" s="20" t="s">
        <v>114</v>
      </c>
      <c r="B12" s="27"/>
      <c r="C12" s="50">
        <f>E12-'[1]Switzerland'!E12</f>
        <v>-41</v>
      </c>
      <c r="D12" s="1">
        <f>F12-'[1]Switzerland'!F12</f>
        <v>0</v>
      </c>
      <c r="E12" s="114">
        <v>105</v>
      </c>
      <c r="F12" s="148">
        <v>0</v>
      </c>
      <c r="G12" s="148">
        <f>209</f>
        <v>209</v>
      </c>
      <c r="H12" s="1">
        <v>0</v>
      </c>
      <c r="I12" s="76">
        <v>104</v>
      </c>
      <c r="J12" s="76">
        <v>72</v>
      </c>
      <c r="K12" s="76">
        <v>132</v>
      </c>
      <c r="L12" s="76">
        <v>153</v>
      </c>
      <c r="M12" s="76">
        <v>53</v>
      </c>
      <c r="N12" s="76">
        <v>70</v>
      </c>
      <c r="O12" s="76">
        <v>100</v>
      </c>
      <c r="P12" s="76">
        <v>0</v>
      </c>
      <c r="Q12" s="76">
        <v>71</v>
      </c>
      <c r="R12" s="1">
        <v>42</v>
      </c>
      <c r="S12" s="29">
        <v>123</v>
      </c>
    </row>
    <row r="13" spans="1:19" ht="12.75">
      <c r="A13" s="20" t="s">
        <v>115</v>
      </c>
      <c r="B13" s="27">
        <f t="shared" si="0"/>
        <v>4.148148148148148</v>
      </c>
      <c r="C13" s="50">
        <f>E13-'[1]Switzerland'!E13</f>
        <v>-19</v>
      </c>
      <c r="D13" s="1">
        <f>F13-'[1]Switzerland'!F13</f>
        <v>-16</v>
      </c>
      <c r="E13" s="114">
        <v>139</v>
      </c>
      <c r="F13" s="148">
        <v>27</v>
      </c>
      <c r="G13" s="148">
        <f>76+291</f>
        <v>367</v>
      </c>
      <c r="H13" s="1">
        <v>116</v>
      </c>
      <c r="I13" s="76">
        <v>189</v>
      </c>
      <c r="J13" s="76">
        <v>422</v>
      </c>
      <c r="K13" s="76">
        <v>641</v>
      </c>
      <c r="L13" s="76">
        <v>706</v>
      </c>
      <c r="M13" s="76">
        <v>1391</v>
      </c>
      <c r="N13" s="76">
        <v>1761</v>
      </c>
      <c r="O13" s="76">
        <v>3411</v>
      </c>
      <c r="P13" s="76">
        <v>3810</v>
      </c>
      <c r="Q13" s="76">
        <v>3733</v>
      </c>
      <c r="R13" s="1">
        <v>4900</v>
      </c>
      <c r="S13" s="29">
        <v>6109</v>
      </c>
    </row>
    <row r="14" spans="1:19" ht="12.75">
      <c r="A14" s="20" t="s">
        <v>13</v>
      </c>
      <c r="B14" s="27">
        <f t="shared" si="0"/>
        <v>13.357142857142858</v>
      </c>
      <c r="C14" s="50">
        <f>E14-'[1]Switzerland'!E14</f>
        <v>-47</v>
      </c>
      <c r="D14" s="1">
        <f>F14-'[1]Switzerland'!F14</f>
        <v>-60</v>
      </c>
      <c r="E14" s="114">
        <v>402</v>
      </c>
      <c r="F14" s="148">
        <v>28</v>
      </c>
      <c r="G14" s="148">
        <f>122+29</f>
        <v>151</v>
      </c>
      <c r="H14" s="1">
        <v>7</v>
      </c>
      <c r="I14" s="76">
        <v>174</v>
      </c>
      <c r="J14" s="76">
        <v>209</v>
      </c>
      <c r="K14" s="76">
        <v>74</v>
      </c>
      <c r="L14" s="76">
        <v>423</v>
      </c>
      <c r="M14" s="76">
        <v>524</v>
      </c>
      <c r="N14" s="76">
        <v>730</v>
      </c>
      <c r="O14" s="76">
        <v>693</v>
      </c>
      <c r="P14" s="76">
        <v>751</v>
      </c>
      <c r="Q14" s="76">
        <v>686</v>
      </c>
      <c r="R14" s="1">
        <v>653</v>
      </c>
      <c r="S14" s="29">
        <v>588</v>
      </c>
    </row>
    <row r="15" spans="1:19" ht="12.75">
      <c r="A15" s="20" t="s">
        <v>116</v>
      </c>
      <c r="B15" s="27"/>
      <c r="C15" s="50">
        <f>E15-'[1]Switzerland'!E15</f>
        <v>-26</v>
      </c>
      <c r="D15" s="1">
        <f>F15-'[1]Switzerland'!F15</f>
        <v>0</v>
      </c>
      <c r="E15" s="114">
        <v>23</v>
      </c>
      <c r="F15" s="148">
        <v>0</v>
      </c>
      <c r="G15" s="148">
        <v>22</v>
      </c>
      <c r="H15" s="1">
        <v>0</v>
      </c>
      <c r="I15" s="76">
        <v>0</v>
      </c>
      <c r="J15" s="76">
        <v>0</v>
      </c>
      <c r="K15" s="76">
        <v>0</v>
      </c>
      <c r="L15" s="76">
        <v>4</v>
      </c>
      <c r="M15" s="76">
        <v>1</v>
      </c>
      <c r="N15" s="76">
        <v>4</v>
      </c>
      <c r="O15" s="76">
        <v>0</v>
      </c>
      <c r="P15" s="76">
        <v>0</v>
      </c>
      <c r="Q15" s="76">
        <v>1</v>
      </c>
      <c r="R15" s="1">
        <v>0</v>
      </c>
      <c r="S15" s="29">
        <v>0</v>
      </c>
    </row>
    <row r="16" spans="1:19" ht="12.75">
      <c r="A16" s="20" t="s">
        <v>96</v>
      </c>
      <c r="B16" s="27">
        <f t="shared" si="0"/>
        <v>6.090909090909091</v>
      </c>
      <c r="C16" s="50">
        <f>E16-'[1]Switzerland'!E16</f>
        <v>-82</v>
      </c>
      <c r="D16" s="1">
        <f>F16-'[1]Switzerland'!F16</f>
        <v>-29</v>
      </c>
      <c r="E16" s="114">
        <v>156</v>
      </c>
      <c r="F16" s="148">
        <v>22</v>
      </c>
      <c r="G16" s="148">
        <f>153+341</f>
        <v>494</v>
      </c>
      <c r="H16" s="1">
        <v>34</v>
      </c>
      <c r="I16" s="76">
        <v>210</v>
      </c>
      <c r="J16" s="76">
        <v>468</v>
      </c>
      <c r="K16" s="76">
        <v>443</v>
      </c>
      <c r="L16" s="76">
        <v>823</v>
      </c>
      <c r="M16" s="76">
        <v>704</v>
      </c>
      <c r="N16" s="76">
        <v>1094</v>
      </c>
      <c r="O16" s="76">
        <v>821</v>
      </c>
      <c r="P16" s="76">
        <v>905</v>
      </c>
      <c r="Q16" s="76">
        <v>466</v>
      </c>
      <c r="R16" s="1">
        <v>789</v>
      </c>
      <c r="S16" s="29">
        <v>550</v>
      </c>
    </row>
    <row r="17" spans="1:19" ht="12.75">
      <c r="A17" s="40" t="s">
        <v>87</v>
      </c>
      <c r="B17" s="27">
        <f t="shared" si="0"/>
        <v>0.14465116279069767</v>
      </c>
      <c r="C17" s="50">
        <f>E17-'[1]Switzerland'!E17</f>
        <v>-2160</v>
      </c>
      <c r="D17" s="1">
        <f>F17-'[1]Switzerland'!F17</f>
        <v>-2268</v>
      </c>
      <c r="E17" s="114">
        <v>7383</v>
      </c>
      <c r="F17" s="148">
        <v>6450</v>
      </c>
      <c r="G17" s="148">
        <f>9251+172</f>
        <v>9423</v>
      </c>
      <c r="H17" s="1">
        <f>4367+69</f>
        <v>4436</v>
      </c>
      <c r="I17" s="76">
        <v>7451</v>
      </c>
      <c r="J17" s="76">
        <v>7596</v>
      </c>
      <c r="K17" s="76">
        <v>8761</v>
      </c>
      <c r="L17" s="76">
        <v>7243</v>
      </c>
      <c r="M17" s="76">
        <v>4571</v>
      </c>
      <c r="N17" s="76">
        <v>5062</v>
      </c>
      <c r="O17" s="76">
        <v>2580</v>
      </c>
      <c r="P17" s="76">
        <f>244+274+1967</f>
        <v>2485</v>
      </c>
      <c r="Q17" s="76">
        <v>999</v>
      </c>
      <c r="R17" s="1">
        <v>677</v>
      </c>
      <c r="S17" s="29">
        <v>307</v>
      </c>
    </row>
    <row r="18" spans="1:19" ht="13.5" thickBot="1">
      <c r="A18" s="22" t="s">
        <v>59</v>
      </c>
      <c r="B18" s="27">
        <f t="shared" si="0"/>
        <v>0.5662125340599455</v>
      </c>
      <c r="C18" s="51">
        <f>E18-'[1]Switzerland'!E18</f>
        <v>-305</v>
      </c>
      <c r="D18" s="10">
        <f>F18-'[1]Switzerland'!F18</f>
        <v>-268</v>
      </c>
      <c r="E18" s="116">
        <v>2874</v>
      </c>
      <c r="F18" s="149">
        <v>1835</v>
      </c>
      <c r="G18" s="149">
        <f>182+558+2255+45+446+38</f>
        <v>3524</v>
      </c>
      <c r="H18" s="10">
        <f>101+323+143+263</f>
        <v>830</v>
      </c>
      <c r="I18" s="77">
        <v>2585</v>
      </c>
      <c r="J18" s="77">
        <v>878</v>
      </c>
      <c r="K18" s="77">
        <v>606</v>
      </c>
      <c r="L18" s="77">
        <v>705</v>
      </c>
      <c r="M18" s="77">
        <v>439</v>
      </c>
      <c r="N18" s="77">
        <v>490</v>
      </c>
      <c r="O18" s="77">
        <v>353</v>
      </c>
      <c r="P18" s="77">
        <v>539</v>
      </c>
      <c r="Q18" s="77">
        <v>480</v>
      </c>
      <c r="R18" s="10">
        <v>468</v>
      </c>
      <c r="S18" s="31">
        <v>511</v>
      </c>
    </row>
    <row r="19" spans="1:19" ht="13.5" thickBot="1">
      <c r="A19" s="32" t="s">
        <v>23</v>
      </c>
      <c r="B19" s="143">
        <f t="shared" si="0"/>
        <v>0.07924706128753567</v>
      </c>
      <c r="C19" s="70">
        <f>E19-'[1]Switzerland'!E19</f>
        <v>-8095</v>
      </c>
      <c r="D19" s="34">
        <f>F19-'[1]Switzerland'!F19</f>
        <v>-8540</v>
      </c>
      <c r="E19" s="117">
        <f>SUM(E2:E18)</f>
        <v>41224</v>
      </c>
      <c r="F19" s="150">
        <f>SUM(F2:F18)</f>
        <v>38197</v>
      </c>
      <c r="G19" s="150">
        <f>SUM(G2:G18)</f>
        <v>46069</v>
      </c>
      <c r="H19" s="34">
        <f aca="true" t="shared" si="1" ref="H19:M19">SUM(H2:H18)</f>
        <v>21798</v>
      </c>
      <c r="I19" s="34">
        <f t="shared" si="1"/>
        <v>40375</v>
      </c>
      <c r="J19" s="34">
        <f t="shared" si="1"/>
        <v>39827</v>
      </c>
      <c r="K19" s="34">
        <f t="shared" si="1"/>
        <v>40404</v>
      </c>
      <c r="L19" s="34">
        <f t="shared" si="1"/>
        <v>40410</v>
      </c>
      <c r="M19" s="34">
        <f t="shared" si="1"/>
        <v>39292</v>
      </c>
      <c r="N19" s="34">
        <f aca="true" t="shared" si="2" ref="N19:S19">SUM(N2:N18)</f>
        <v>44267</v>
      </c>
      <c r="O19" s="34">
        <f t="shared" si="2"/>
        <v>42232</v>
      </c>
      <c r="P19" s="34">
        <f t="shared" si="2"/>
        <v>44810</v>
      </c>
      <c r="Q19" s="34">
        <f t="shared" si="2"/>
        <v>38867</v>
      </c>
      <c r="R19" s="34">
        <f t="shared" si="2"/>
        <v>40687</v>
      </c>
      <c r="S19" s="35">
        <f t="shared" si="2"/>
        <v>39999</v>
      </c>
    </row>
    <row r="20" spans="2:8" ht="12.75">
      <c r="B20" s="36"/>
      <c r="C20" s="36"/>
      <c r="D20" s="36"/>
      <c r="E20" s="36"/>
      <c r="F20" s="151"/>
      <c r="G20" s="151"/>
      <c r="H20" s="36"/>
    </row>
    <row r="21" spans="2:8" ht="13.5" thickBot="1">
      <c r="B21" s="36"/>
      <c r="C21" s="36"/>
      <c r="D21" s="36"/>
      <c r="E21" s="36"/>
      <c r="F21" s="151"/>
      <c r="G21" s="151"/>
      <c r="H21" s="36"/>
    </row>
    <row r="22" spans="1:19" ht="13.5" thickBot="1">
      <c r="A22" s="23" t="s">
        <v>25</v>
      </c>
      <c r="B22" s="24" t="s">
        <v>175</v>
      </c>
      <c r="C22" s="49" t="s">
        <v>176</v>
      </c>
      <c r="D22" s="25" t="s">
        <v>170</v>
      </c>
      <c r="E22" s="115">
        <v>44256</v>
      </c>
      <c r="F22" s="147">
        <v>43891</v>
      </c>
      <c r="G22" s="147">
        <v>43525</v>
      </c>
      <c r="H22" s="25">
        <v>43160</v>
      </c>
      <c r="I22" s="25">
        <v>42795</v>
      </c>
      <c r="J22" s="25">
        <v>42430</v>
      </c>
      <c r="K22" s="25">
        <f>K1</f>
        <v>42064</v>
      </c>
      <c r="L22" s="25">
        <v>41699</v>
      </c>
      <c r="M22" s="25">
        <v>41334</v>
      </c>
      <c r="N22" s="25">
        <v>40969</v>
      </c>
      <c r="O22" s="25">
        <v>40603</v>
      </c>
      <c r="P22" s="25">
        <v>40238</v>
      </c>
      <c r="Q22" s="25">
        <v>39873</v>
      </c>
      <c r="R22" s="25">
        <v>39508</v>
      </c>
      <c r="S22" s="26">
        <v>39142</v>
      </c>
    </row>
    <row r="23" spans="1:19" ht="12.75">
      <c r="A23" s="20" t="s">
        <v>117</v>
      </c>
      <c r="B23" s="27">
        <f aca="true" t="shared" si="3" ref="B23:B28">(E23-F23)/F23</f>
        <v>-0.18063420158550397</v>
      </c>
      <c r="C23" s="50">
        <f>E23-'[1]Switzerland'!E23</f>
        <v>-1186</v>
      </c>
      <c r="D23" s="1">
        <f>F23-'[1]Switzerland'!F23</f>
        <v>-1096</v>
      </c>
      <c r="E23" s="114">
        <v>2894</v>
      </c>
      <c r="F23" s="148">
        <v>3532</v>
      </c>
      <c r="G23" s="148">
        <f>3389+45</f>
        <v>3434</v>
      </c>
      <c r="H23" s="1">
        <v>2</v>
      </c>
      <c r="I23" s="1">
        <v>1066</v>
      </c>
      <c r="J23" s="1">
        <v>1187</v>
      </c>
      <c r="K23" s="1">
        <v>2502</v>
      </c>
      <c r="L23" s="1">
        <v>1871</v>
      </c>
      <c r="M23" s="1">
        <v>497</v>
      </c>
      <c r="N23" s="1">
        <v>2280</v>
      </c>
      <c r="O23" s="1">
        <v>538</v>
      </c>
      <c r="P23" s="1">
        <v>1833</v>
      </c>
      <c r="Q23" s="1">
        <v>62</v>
      </c>
      <c r="R23" s="1">
        <v>1492</v>
      </c>
      <c r="S23" s="29">
        <v>635</v>
      </c>
    </row>
    <row r="24" spans="1:19" ht="12.75">
      <c r="A24" s="20" t="s">
        <v>7</v>
      </c>
      <c r="B24" s="27">
        <f t="shared" si="3"/>
        <v>-0.5651340996168582</v>
      </c>
      <c r="C24" s="50">
        <f>E24-'[1]Switzerland'!E24</f>
        <v>-349</v>
      </c>
      <c r="D24" s="1">
        <f>F24-'[1]Switzerland'!F24</f>
        <v>-561</v>
      </c>
      <c r="E24" s="114">
        <v>227</v>
      </c>
      <c r="F24" s="148">
        <v>522</v>
      </c>
      <c r="G24" s="148">
        <v>163</v>
      </c>
      <c r="H24" s="1">
        <v>0</v>
      </c>
      <c r="I24" s="1">
        <v>466</v>
      </c>
      <c r="J24" s="1">
        <v>114</v>
      </c>
      <c r="K24" s="1">
        <v>417</v>
      </c>
      <c r="L24" s="1">
        <v>90</v>
      </c>
      <c r="M24" s="1">
        <v>3</v>
      </c>
      <c r="N24" s="1">
        <v>1621</v>
      </c>
      <c r="O24" s="1">
        <v>18</v>
      </c>
      <c r="P24" s="1">
        <v>1060</v>
      </c>
      <c r="Q24" s="1">
        <v>0</v>
      </c>
      <c r="R24" s="1">
        <v>1454</v>
      </c>
      <c r="S24" s="29">
        <v>67</v>
      </c>
    </row>
    <row r="25" spans="1:19" ht="12.75">
      <c r="A25" s="20" t="s">
        <v>118</v>
      </c>
      <c r="B25" s="27">
        <f t="shared" si="3"/>
        <v>1.8425196850393701</v>
      </c>
      <c r="C25" s="50">
        <f>E25-'[1]Switzerland'!E25</f>
        <v>-454</v>
      </c>
      <c r="D25" s="1">
        <f>F25-'[1]Switzerland'!F25</f>
        <v>-405</v>
      </c>
      <c r="E25" s="114">
        <v>361</v>
      </c>
      <c r="F25" s="148">
        <v>127</v>
      </c>
      <c r="G25" s="148">
        <f>257+39</f>
        <v>296</v>
      </c>
      <c r="H25" s="1">
        <v>0</v>
      </c>
      <c r="I25" s="1">
        <v>442</v>
      </c>
      <c r="J25" s="1">
        <v>513</v>
      </c>
      <c r="K25" s="1">
        <v>471</v>
      </c>
      <c r="L25" s="1">
        <v>492</v>
      </c>
      <c r="M25" s="1">
        <v>77</v>
      </c>
      <c r="N25" s="1">
        <v>1355</v>
      </c>
      <c r="O25" s="1">
        <v>5</v>
      </c>
      <c r="P25" s="1">
        <v>1375</v>
      </c>
      <c r="Q25" s="1">
        <v>0</v>
      </c>
      <c r="R25" s="1">
        <v>1583</v>
      </c>
      <c r="S25" s="29">
        <v>24</v>
      </c>
    </row>
    <row r="26" spans="1:19" ht="12.75">
      <c r="A26" s="40" t="s">
        <v>164</v>
      </c>
      <c r="B26" s="27">
        <f t="shared" si="3"/>
        <v>-1</v>
      </c>
      <c r="C26" s="50">
        <f>E26-'[1]Switzerland'!E26</f>
        <v>0</v>
      </c>
      <c r="D26" s="1">
        <f>F26-'[1]Switzerland'!F26</f>
        <v>0</v>
      </c>
      <c r="E26" s="114">
        <v>0</v>
      </c>
      <c r="F26" s="148">
        <v>25</v>
      </c>
      <c r="G26" s="148">
        <v>0</v>
      </c>
      <c r="H26" s="1">
        <v>0</v>
      </c>
      <c r="I26" s="1">
        <v>0</v>
      </c>
      <c r="J26" s="1"/>
      <c r="K26" s="1"/>
      <c r="L26" s="1"/>
      <c r="M26" s="1"/>
      <c r="N26" s="1"/>
      <c r="O26" s="1"/>
      <c r="P26" s="1"/>
      <c r="Q26" s="1"/>
      <c r="R26" s="1"/>
      <c r="S26" s="29"/>
    </row>
    <row r="27" spans="1:19" ht="13.5" thickBot="1">
      <c r="A27" s="30" t="s">
        <v>59</v>
      </c>
      <c r="B27" s="27">
        <f t="shared" si="3"/>
        <v>0.24761904761904763</v>
      </c>
      <c r="C27" s="51">
        <f>E27-'[1]Switzerland'!E27</f>
        <v>-202</v>
      </c>
      <c r="D27" s="10">
        <f>F27-'[1]Switzerland'!F27</f>
        <v>-147</v>
      </c>
      <c r="E27" s="116">
        <v>131</v>
      </c>
      <c r="F27" s="149">
        <v>105</v>
      </c>
      <c r="G27" s="149">
        <f>184+42</f>
        <v>226</v>
      </c>
      <c r="H27" s="10">
        <v>5</v>
      </c>
      <c r="I27" s="10">
        <v>59</v>
      </c>
      <c r="J27" s="10">
        <v>51</v>
      </c>
      <c r="K27" s="10">
        <v>204</v>
      </c>
      <c r="L27" s="10">
        <v>39</v>
      </c>
      <c r="M27" s="10">
        <v>15</v>
      </c>
      <c r="N27" s="10">
        <v>151</v>
      </c>
      <c r="O27" s="10">
        <v>23</v>
      </c>
      <c r="P27" s="10">
        <v>133</v>
      </c>
      <c r="Q27" s="10">
        <v>0</v>
      </c>
      <c r="R27" s="10">
        <v>162</v>
      </c>
      <c r="S27" s="31">
        <v>42</v>
      </c>
    </row>
    <row r="28" spans="1:19" ht="13.5" thickBot="1">
      <c r="A28" s="32" t="s">
        <v>23</v>
      </c>
      <c r="B28" s="142">
        <f t="shared" si="3"/>
        <v>-0.16191138946880074</v>
      </c>
      <c r="C28" s="70">
        <f>E28-'[1]Switzerland'!E28</f>
        <v>-2191</v>
      </c>
      <c r="D28" s="34">
        <f>F28-'[1]Switzerland'!F28</f>
        <v>-2209</v>
      </c>
      <c r="E28" s="117">
        <f>SUM(E23:E27)</f>
        <v>3613</v>
      </c>
      <c r="F28" s="150">
        <f>SUM(F23:F27)</f>
        <v>4311</v>
      </c>
      <c r="G28" s="150">
        <f>SUM(G23:G27)</f>
        <v>4119</v>
      </c>
      <c r="H28" s="34">
        <v>7</v>
      </c>
      <c r="I28" s="34">
        <f>SUM(I23:I27)</f>
        <v>2033</v>
      </c>
      <c r="J28" s="34">
        <f>SUM(J23:J27)</f>
        <v>1865</v>
      </c>
      <c r="K28" s="34">
        <f>SUM(K23:K27)</f>
        <v>3594</v>
      </c>
      <c r="L28" s="34">
        <f>SUM(L23:L27)</f>
        <v>2492</v>
      </c>
      <c r="M28" s="34">
        <f>SUM(M23:M27)</f>
        <v>592</v>
      </c>
      <c r="N28" s="34">
        <f aca="true" t="shared" si="4" ref="N28:S28">SUM(N23:N27)</f>
        <v>5407</v>
      </c>
      <c r="O28" s="34">
        <f t="shared" si="4"/>
        <v>584</v>
      </c>
      <c r="P28" s="34">
        <f t="shared" si="4"/>
        <v>4401</v>
      </c>
      <c r="Q28" s="34">
        <f t="shared" si="4"/>
        <v>62</v>
      </c>
      <c r="R28" s="34">
        <f t="shared" si="4"/>
        <v>4691</v>
      </c>
      <c r="S28" s="35">
        <f t="shared" si="4"/>
        <v>768</v>
      </c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6"/>
      <c r="S45" s="1"/>
      <c r="T45" s="1"/>
    </row>
    <row r="46" spans="18:20" ht="18">
      <c r="R46" s="7"/>
      <c r="S46" s="2"/>
      <c r="T4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23.8515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9" width="10.140625" style="0" bestFit="1" customWidth="1"/>
    <col min="20" max="20" width="8.8515625" style="0" customWidth="1"/>
    <col min="21" max="21" width="11.00390625" style="0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20" t="s">
        <v>4</v>
      </c>
      <c r="B2" s="47">
        <f>(E2-F2)/F2</f>
        <v>-0.5324580598103574</v>
      </c>
      <c r="C2" s="50">
        <f>E2-'[1]Netherlands'!E2</f>
        <v>-1448</v>
      </c>
      <c r="D2" s="1">
        <f>F2-'[1]Netherlands'!F2</f>
        <v>-1550</v>
      </c>
      <c r="E2" s="114">
        <v>641</v>
      </c>
      <c r="F2" s="148">
        <v>1371</v>
      </c>
      <c r="G2" s="148">
        <v>2073.1</v>
      </c>
      <c r="H2" s="1">
        <v>251</v>
      </c>
      <c r="I2" s="1">
        <v>2040</v>
      </c>
      <c r="J2" s="1">
        <v>3989</v>
      </c>
      <c r="K2" s="1">
        <v>4057</v>
      </c>
      <c r="L2" s="1">
        <v>3018</v>
      </c>
      <c r="M2" s="1">
        <v>2000</v>
      </c>
      <c r="N2" s="1">
        <v>3000</v>
      </c>
      <c r="O2" s="1">
        <v>2000</v>
      </c>
      <c r="P2" s="1">
        <v>2000</v>
      </c>
      <c r="Q2" s="1">
        <v>7000</v>
      </c>
      <c r="R2" s="1">
        <v>3000</v>
      </c>
      <c r="S2" s="29">
        <v>8000</v>
      </c>
    </row>
    <row r="3" spans="1:19" ht="12.75">
      <c r="A3" s="20" t="s">
        <v>2</v>
      </c>
      <c r="B3" s="47">
        <f aca="true" t="shared" si="0" ref="B3:B8">(E3-F3)/F3</f>
        <v>-0.5627156125608138</v>
      </c>
      <c r="C3" s="50">
        <f>E3-'[1]Netherlands'!E3</f>
        <v>-10289</v>
      </c>
      <c r="D3" s="1">
        <f>F3-'[1]Netherlands'!F3</f>
        <v>-12449</v>
      </c>
      <c r="E3" s="114">
        <v>19774</v>
      </c>
      <c r="F3" s="148">
        <v>45220</v>
      </c>
      <c r="G3" s="148">
        <v>30303.1</v>
      </c>
      <c r="H3" s="1">
        <v>24889</v>
      </c>
      <c r="I3" s="1">
        <v>41826</v>
      </c>
      <c r="J3" s="1">
        <v>47847</v>
      </c>
      <c r="K3" s="1">
        <v>49894</v>
      </c>
      <c r="L3" s="1">
        <v>39533</v>
      </c>
      <c r="M3" s="1">
        <v>35000</v>
      </c>
      <c r="N3" s="1">
        <v>52000</v>
      </c>
      <c r="O3" s="1">
        <v>38000</v>
      </c>
      <c r="P3" s="1">
        <v>61000</v>
      </c>
      <c r="Q3" s="1">
        <v>49000</v>
      </c>
      <c r="R3" s="1">
        <v>48000</v>
      </c>
      <c r="S3" s="29">
        <v>41000</v>
      </c>
    </row>
    <row r="4" spans="1:19" ht="12.75">
      <c r="A4" s="20" t="s">
        <v>3</v>
      </c>
      <c r="B4" s="47">
        <f t="shared" si="0"/>
        <v>-0.23011800923550538</v>
      </c>
      <c r="C4" s="50">
        <f>E4-'[1]Netherlands'!E4</f>
        <v>-514</v>
      </c>
      <c r="D4" s="1">
        <f>F4-'[1]Netherlands'!F4</f>
        <v>-674</v>
      </c>
      <c r="E4" s="114">
        <v>3001</v>
      </c>
      <c r="F4" s="148">
        <v>3898</v>
      </c>
      <c r="G4" s="148">
        <v>5094.1</v>
      </c>
      <c r="H4" s="1">
        <v>5826</v>
      </c>
      <c r="I4" s="1">
        <v>7280</v>
      </c>
      <c r="J4" s="1">
        <v>10784</v>
      </c>
      <c r="K4" s="1">
        <v>10817</v>
      </c>
      <c r="L4" s="1">
        <v>13260</v>
      </c>
      <c r="M4" s="1">
        <v>11000</v>
      </c>
      <c r="N4" s="1">
        <v>11000</v>
      </c>
      <c r="O4" s="1">
        <v>11000</v>
      </c>
      <c r="P4" s="1">
        <v>11000</v>
      </c>
      <c r="Q4" s="1">
        <v>14000</v>
      </c>
      <c r="R4" s="1">
        <v>13000</v>
      </c>
      <c r="S4" s="29">
        <v>15000</v>
      </c>
    </row>
    <row r="5" spans="1:19" ht="12.75">
      <c r="A5" s="20" t="s">
        <v>108</v>
      </c>
      <c r="B5" s="47">
        <f t="shared" si="0"/>
        <v>-0.17585791031685122</v>
      </c>
      <c r="C5" s="50">
        <f>E5-'[1]Netherlands'!E5</f>
        <v>-3662</v>
      </c>
      <c r="D5" s="1">
        <f>F5-'[1]Netherlands'!F5</f>
        <v>-4699</v>
      </c>
      <c r="E5" s="114">
        <v>30068</v>
      </c>
      <c r="F5" s="148">
        <v>36484</v>
      </c>
      <c r="G5" s="148">
        <v>36744.1</v>
      </c>
      <c r="H5" s="1">
        <v>30634</v>
      </c>
      <c r="I5" s="76">
        <v>53125</v>
      </c>
      <c r="J5" s="76">
        <v>52207</v>
      </c>
      <c r="K5" s="76">
        <v>57469</v>
      </c>
      <c r="L5" s="76">
        <v>57046</v>
      </c>
      <c r="M5" s="76">
        <v>51000</v>
      </c>
      <c r="N5" s="76">
        <v>85000</v>
      </c>
      <c r="O5" s="76">
        <v>51000</v>
      </c>
      <c r="P5" s="76">
        <v>75000</v>
      </c>
      <c r="Q5" s="76">
        <v>82000</v>
      </c>
      <c r="R5" s="1">
        <v>80000</v>
      </c>
      <c r="S5" s="29">
        <v>72000</v>
      </c>
    </row>
    <row r="6" spans="1:19" ht="12.75">
      <c r="A6" s="40" t="s">
        <v>135</v>
      </c>
      <c r="B6" s="47">
        <f t="shared" si="0"/>
        <v>-0.13539506771959237</v>
      </c>
      <c r="C6" s="50">
        <f>E6-'[1]Netherlands'!E6</f>
        <v>-4107</v>
      </c>
      <c r="D6" s="1">
        <f>F6-'[1]Netherlands'!F6</f>
        <v>-3292</v>
      </c>
      <c r="E6" s="114">
        <v>19598</v>
      </c>
      <c r="F6" s="148">
        <v>22667</v>
      </c>
      <c r="G6" s="148">
        <v>23091.1</v>
      </c>
      <c r="H6" s="1">
        <v>12110</v>
      </c>
      <c r="I6" s="76">
        <v>22217</v>
      </c>
      <c r="J6" s="76">
        <v>18675</v>
      </c>
      <c r="K6" s="76">
        <v>18710</v>
      </c>
      <c r="L6" s="76">
        <v>14006</v>
      </c>
      <c r="M6" s="76"/>
      <c r="N6" s="76"/>
      <c r="O6" s="76"/>
      <c r="P6" s="76"/>
      <c r="Q6" s="76"/>
      <c r="R6" s="1"/>
      <c r="S6" s="29"/>
    </row>
    <row r="7" spans="1:19" ht="13.5" thickBot="1">
      <c r="A7" s="30" t="s">
        <v>59</v>
      </c>
      <c r="B7" s="47">
        <f t="shared" si="0"/>
        <v>0.030051403716884143</v>
      </c>
      <c r="C7" s="51">
        <f>E7-'[1]Netherlands'!E7</f>
        <v>-1366</v>
      </c>
      <c r="D7" s="10">
        <f>F7-'[1]Netherlands'!F7</f>
        <v>-1850</v>
      </c>
      <c r="E7" s="116">
        <v>5210</v>
      </c>
      <c r="F7" s="149">
        <v>5058</v>
      </c>
      <c r="G7" s="149">
        <v>5435</v>
      </c>
      <c r="H7" s="10">
        <v>4107</v>
      </c>
      <c r="I7" s="77">
        <v>5654</v>
      </c>
      <c r="J7" s="77">
        <v>4511</v>
      </c>
      <c r="K7" s="77">
        <v>5807</v>
      </c>
      <c r="L7" s="77">
        <v>6239</v>
      </c>
      <c r="M7" s="77">
        <v>18000</v>
      </c>
      <c r="N7" s="77">
        <v>20000</v>
      </c>
      <c r="O7" s="77">
        <v>18000</v>
      </c>
      <c r="P7" s="77">
        <v>14000</v>
      </c>
      <c r="Q7" s="77">
        <v>5000</v>
      </c>
      <c r="R7" s="10">
        <v>3000</v>
      </c>
      <c r="S7" s="31">
        <v>5000</v>
      </c>
    </row>
    <row r="8" spans="1:19" ht="13.5" thickBot="1">
      <c r="A8" s="32" t="s">
        <v>23</v>
      </c>
      <c r="B8" s="143">
        <f t="shared" si="0"/>
        <v>-0.3174074526146925</v>
      </c>
      <c r="C8" s="70">
        <f>E8-'[1]Netherlands'!E8</f>
        <v>-21386</v>
      </c>
      <c r="D8" s="34">
        <f>F8-'[1]Netherlands'!F8</f>
        <v>-24514</v>
      </c>
      <c r="E8" s="117">
        <f>SUM(E2:E7)</f>
        <v>78292</v>
      </c>
      <c r="F8" s="150">
        <f aca="true" t="shared" si="1" ref="F8:K8">SUM(F2:F7)</f>
        <v>114698</v>
      </c>
      <c r="G8" s="150">
        <f t="shared" si="1"/>
        <v>102740.5</v>
      </c>
      <c r="H8" s="34">
        <f t="shared" si="1"/>
        <v>77817</v>
      </c>
      <c r="I8" s="34">
        <f t="shared" si="1"/>
        <v>132142</v>
      </c>
      <c r="J8" s="34">
        <f t="shared" si="1"/>
        <v>138013</v>
      </c>
      <c r="K8" s="34">
        <f t="shared" si="1"/>
        <v>146754</v>
      </c>
      <c r="L8" s="34">
        <f aca="true" t="shared" si="2" ref="L8:S8">SUM(L2:L7)</f>
        <v>133102</v>
      </c>
      <c r="M8" s="34">
        <f t="shared" si="2"/>
        <v>117000</v>
      </c>
      <c r="N8" s="34">
        <f t="shared" si="2"/>
        <v>171000</v>
      </c>
      <c r="O8" s="34">
        <f t="shared" si="2"/>
        <v>120000</v>
      </c>
      <c r="P8" s="34">
        <f t="shared" si="2"/>
        <v>163000</v>
      </c>
      <c r="Q8" s="34">
        <f t="shared" si="2"/>
        <v>157000</v>
      </c>
      <c r="R8" s="34">
        <f t="shared" si="2"/>
        <v>147000</v>
      </c>
      <c r="S8" s="35">
        <f t="shared" si="2"/>
        <v>141000</v>
      </c>
    </row>
    <row r="9" spans="2:9" ht="12.75">
      <c r="B9" s="36"/>
      <c r="C9" s="36"/>
      <c r="D9" s="36"/>
      <c r="E9" s="36"/>
      <c r="F9" s="151"/>
      <c r="G9" s="151"/>
      <c r="H9" s="36"/>
      <c r="I9" s="36"/>
    </row>
    <row r="10" spans="2:9" ht="13.5" thickBot="1">
      <c r="B10" s="36"/>
      <c r="C10" s="36"/>
      <c r="D10" s="36"/>
      <c r="E10" s="36"/>
      <c r="F10" s="151"/>
      <c r="G10" s="151"/>
      <c r="H10" s="36"/>
      <c r="I10" s="36"/>
    </row>
    <row r="11" spans="1:19" ht="13.5" thickBot="1">
      <c r="A11" s="23" t="s">
        <v>25</v>
      </c>
      <c r="B11" s="24" t="s">
        <v>175</v>
      </c>
      <c r="C11" s="49" t="s">
        <v>176</v>
      </c>
      <c r="D11" s="25" t="s">
        <v>170</v>
      </c>
      <c r="E11" s="115">
        <v>44256</v>
      </c>
      <c r="F11" s="147">
        <v>43891</v>
      </c>
      <c r="G11" s="147">
        <v>43525</v>
      </c>
      <c r="H11" s="25">
        <v>43160</v>
      </c>
      <c r="I11" s="25">
        <v>42795</v>
      </c>
      <c r="J11" s="25">
        <v>42430</v>
      </c>
      <c r="K11" s="25">
        <f>K1</f>
        <v>42064</v>
      </c>
      <c r="L11" s="25">
        <v>41699</v>
      </c>
      <c r="M11" s="25">
        <v>41334</v>
      </c>
      <c r="N11" s="25">
        <v>40969</v>
      </c>
      <c r="O11" s="25">
        <v>40603</v>
      </c>
      <c r="P11" s="25">
        <v>40238</v>
      </c>
      <c r="Q11" s="25">
        <v>39873</v>
      </c>
      <c r="R11" s="25">
        <v>39508</v>
      </c>
      <c r="S11" s="26">
        <v>39142</v>
      </c>
    </row>
    <row r="12" spans="1:19" ht="12.75">
      <c r="A12" s="20" t="s">
        <v>7</v>
      </c>
      <c r="B12" s="27">
        <f>(E12-F12)/F12</f>
        <v>0.14378391540281063</v>
      </c>
      <c r="C12" s="50">
        <f>E12-'[1]Netherlands'!E12</f>
        <v>-30417</v>
      </c>
      <c r="D12" s="1">
        <f>F12-'[1]Netherlands'!F12</f>
        <v>-28069</v>
      </c>
      <c r="E12" s="114">
        <v>131526</v>
      </c>
      <c r="F12" s="148">
        <v>114992</v>
      </c>
      <c r="G12" s="148">
        <v>133343</v>
      </c>
      <c r="H12" s="38">
        <v>118152</v>
      </c>
      <c r="I12" s="1">
        <v>124617</v>
      </c>
      <c r="J12" s="1">
        <v>127331</v>
      </c>
      <c r="K12" s="1">
        <v>120931</v>
      </c>
      <c r="L12" s="1">
        <v>109762</v>
      </c>
      <c r="M12" s="1">
        <v>59000</v>
      </c>
      <c r="N12" s="1">
        <v>102000</v>
      </c>
      <c r="O12" s="1">
        <v>81000</v>
      </c>
      <c r="P12" s="1">
        <v>87000</v>
      </c>
      <c r="Q12" s="1">
        <v>39000</v>
      </c>
      <c r="R12" s="1">
        <v>60000</v>
      </c>
      <c r="S12" s="29">
        <v>62000</v>
      </c>
    </row>
    <row r="13" spans="1:19" ht="12.75">
      <c r="A13" s="20" t="s">
        <v>100</v>
      </c>
      <c r="B13" s="27">
        <f>(E13-F13)/F13</f>
        <v>-0.5370786516853933</v>
      </c>
      <c r="C13" s="50">
        <f>E13-'[1]Netherlands'!E13</f>
        <v>-3795</v>
      </c>
      <c r="D13" s="1">
        <f>F13-'[1]Netherlands'!F13</f>
        <v>-4412</v>
      </c>
      <c r="E13" s="114">
        <v>206</v>
      </c>
      <c r="F13" s="148">
        <v>445</v>
      </c>
      <c r="G13" s="148">
        <v>2320</v>
      </c>
      <c r="H13" s="38">
        <v>100</v>
      </c>
      <c r="I13" s="1">
        <v>1657</v>
      </c>
      <c r="J13" s="1">
        <v>1320</v>
      </c>
      <c r="K13" s="1">
        <v>1027</v>
      </c>
      <c r="L13" s="1">
        <v>1061</v>
      </c>
      <c r="M13" s="1">
        <v>0</v>
      </c>
      <c r="N13" s="1">
        <v>1000</v>
      </c>
      <c r="O13" s="1">
        <v>0</v>
      </c>
      <c r="P13" s="1">
        <v>1000</v>
      </c>
      <c r="Q13" s="1">
        <v>0</v>
      </c>
      <c r="R13" s="1">
        <v>1000</v>
      </c>
      <c r="S13" s="29">
        <v>2000</v>
      </c>
    </row>
    <row r="14" spans="1:19" ht="13.5" thickBot="1">
      <c r="A14" s="30" t="s">
        <v>6</v>
      </c>
      <c r="B14" s="27">
        <f>(E14-F14)/F14</f>
        <v>0.05152868430092752</v>
      </c>
      <c r="C14" s="51">
        <f>E14-'[1]Netherlands'!E14</f>
        <v>-5518</v>
      </c>
      <c r="D14" s="10">
        <f>F14-'[1]Netherlands'!F14</f>
        <v>-3178</v>
      </c>
      <c r="E14" s="116">
        <v>6122</v>
      </c>
      <c r="F14" s="149">
        <v>5822</v>
      </c>
      <c r="G14" s="149">
        <v>7751</v>
      </c>
      <c r="H14" s="37">
        <v>2752</v>
      </c>
      <c r="I14" s="10">
        <v>7063</v>
      </c>
      <c r="J14" s="10">
        <v>7541</v>
      </c>
      <c r="K14" s="10">
        <v>4336</v>
      </c>
      <c r="L14" s="10">
        <v>6698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31">
        <v>1000</v>
      </c>
    </row>
    <row r="15" spans="1:19" ht="13.5" thickBot="1">
      <c r="A15" s="32" t="s">
        <v>23</v>
      </c>
      <c r="B15" s="143">
        <f>(E15-F15)/F15</f>
        <v>0.1368558210112239</v>
      </c>
      <c r="C15" s="70">
        <f>E15-'[1]Netherlands'!E15</f>
        <v>-39730</v>
      </c>
      <c r="D15" s="34">
        <f>F15-'[1]Netherlands'!F15</f>
        <v>-35659</v>
      </c>
      <c r="E15" s="117">
        <f>SUM(E12:E14)</f>
        <v>137854</v>
      </c>
      <c r="F15" s="150">
        <f>SUM(F12:F14)</f>
        <v>121259</v>
      </c>
      <c r="G15" s="150">
        <f>SUM(G12:G14)</f>
        <v>143414</v>
      </c>
      <c r="H15" s="34">
        <f aca="true" t="shared" si="3" ref="H15:M15">SUM(H12:H14)</f>
        <v>121004</v>
      </c>
      <c r="I15" s="34">
        <f t="shared" si="3"/>
        <v>133337</v>
      </c>
      <c r="J15" s="34">
        <f t="shared" si="3"/>
        <v>136192</v>
      </c>
      <c r="K15" s="34">
        <f t="shared" si="3"/>
        <v>126294</v>
      </c>
      <c r="L15" s="34">
        <f t="shared" si="3"/>
        <v>117521</v>
      </c>
      <c r="M15" s="34">
        <f t="shared" si="3"/>
        <v>59000</v>
      </c>
      <c r="N15" s="34">
        <f aca="true" t="shared" si="4" ref="N15:S15">SUM(N12:N14)</f>
        <v>103000</v>
      </c>
      <c r="O15" s="34">
        <f t="shared" si="4"/>
        <v>81000</v>
      </c>
      <c r="P15" s="34">
        <f t="shared" si="4"/>
        <v>88000</v>
      </c>
      <c r="Q15" s="34">
        <f t="shared" si="4"/>
        <v>39000</v>
      </c>
      <c r="R15" s="34">
        <f t="shared" si="4"/>
        <v>61000</v>
      </c>
      <c r="S15" s="35">
        <f t="shared" si="4"/>
        <v>65000</v>
      </c>
    </row>
    <row r="21" spans="4:6" ht="15">
      <c r="D21" s="127"/>
      <c r="E21" s="127"/>
      <c r="F21" s="185"/>
    </row>
    <row r="22" spans="4:20" ht="18">
      <c r="D22" s="128"/>
      <c r="E22" s="128"/>
      <c r="F22" s="186"/>
      <c r="R22" s="5"/>
      <c r="S22" s="1"/>
      <c r="T22" s="1"/>
    </row>
    <row r="23" spans="4:20" ht="18">
      <c r="D23" s="128"/>
      <c r="E23" s="128"/>
      <c r="F23" s="186"/>
      <c r="R23" s="5"/>
      <c r="S23" s="1"/>
      <c r="T23" s="1"/>
    </row>
    <row r="24" spans="4:20" ht="18">
      <c r="D24" s="128"/>
      <c r="E24" s="128"/>
      <c r="F24" s="186"/>
      <c r="R24" s="5"/>
      <c r="S24" s="1"/>
      <c r="T24" s="1"/>
    </row>
    <row r="25" spans="4:20" ht="18">
      <c r="D25" s="128"/>
      <c r="E25" s="128"/>
      <c r="F25" s="186"/>
      <c r="R25" s="5"/>
      <c r="S25" s="1"/>
      <c r="T25" s="1"/>
    </row>
    <row r="26" spans="4:20" ht="18">
      <c r="D26" s="128"/>
      <c r="E26" s="128"/>
      <c r="F26" s="186"/>
      <c r="R26" s="5"/>
      <c r="S26" s="1"/>
      <c r="T26" s="1"/>
    </row>
    <row r="27" spans="4:20" ht="18">
      <c r="D27" s="128"/>
      <c r="E27" s="128"/>
      <c r="F27" s="186"/>
      <c r="R27" s="5"/>
      <c r="S27" s="1"/>
      <c r="T27" s="1"/>
    </row>
    <row r="28" spans="4:20" ht="18">
      <c r="D28" s="128"/>
      <c r="E28" s="128"/>
      <c r="F28" s="186"/>
      <c r="R28" s="5"/>
      <c r="S28" s="1"/>
      <c r="T28" s="1"/>
    </row>
    <row r="29" spans="4:20" ht="18">
      <c r="D29" s="128"/>
      <c r="E29" s="128"/>
      <c r="F29" s="186"/>
      <c r="R29" s="5"/>
      <c r="S29" s="1"/>
      <c r="T29" s="1"/>
    </row>
    <row r="30" spans="4:20" ht="18">
      <c r="D30" s="128"/>
      <c r="E30" s="128"/>
      <c r="F30" s="186"/>
      <c r="R30" s="5"/>
      <c r="S30" s="1"/>
      <c r="T30" s="1"/>
    </row>
    <row r="31" spans="4:20" ht="18">
      <c r="D31" s="128"/>
      <c r="E31" s="128"/>
      <c r="F31" s="186"/>
      <c r="R31" s="5"/>
      <c r="S31" s="1"/>
      <c r="T31" s="1"/>
    </row>
    <row r="32" spans="4:20" ht="18">
      <c r="D32" s="128"/>
      <c r="E32" s="128"/>
      <c r="F32" s="186"/>
      <c r="R32" s="6"/>
      <c r="S32" s="1"/>
      <c r="T32" s="1"/>
    </row>
    <row r="33" spans="4:20" ht="18">
      <c r="D33" s="128"/>
      <c r="E33" s="128"/>
      <c r="F33" s="186"/>
      <c r="R33" s="7"/>
      <c r="S33" s="2"/>
      <c r="T33" s="2"/>
    </row>
    <row r="34" spans="4:6" ht="12.75">
      <c r="D34" s="128"/>
      <c r="E34" s="128"/>
      <c r="F34" s="186"/>
    </row>
    <row r="35" spans="4:6" ht="12.75">
      <c r="D35" s="128"/>
      <c r="E35" s="128"/>
      <c r="F35" s="186"/>
    </row>
    <row r="36" spans="4:6" ht="12.75">
      <c r="D36" s="128"/>
      <c r="E36" s="128"/>
      <c r="F36" s="186"/>
    </row>
    <row r="37" spans="4:6" ht="12.75">
      <c r="D37" s="128"/>
      <c r="E37" s="128"/>
      <c r="F37" s="186"/>
    </row>
    <row r="38" spans="4:6" ht="12.75">
      <c r="D38" s="128"/>
      <c r="E38" s="128"/>
      <c r="F38" s="186"/>
    </row>
    <row r="39" spans="4:6" ht="12.75">
      <c r="D39" s="128"/>
      <c r="E39" s="128"/>
      <c r="F39" s="18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H1">
      <selection activeCell="E17" sqref="E17"/>
    </sheetView>
  </sheetViews>
  <sheetFormatPr defaultColWidth="8.8515625" defaultRowHeight="12.75"/>
  <cols>
    <col min="1" max="1" width="18.140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9" width="10.140625" style="0" bestFit="1" customWidth="1"/>
  </cols>
  <sheetData>
    <row r="1" spans="1:19" ht="13.5" thickBot="1">
      <c r="A1" s="39" t="s">
        <v>91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40" t="s">
        <v>11</v>
      </c>
      <c r="B2" s="47">
        <f>(E2-F2)/F2</f>
        <v>-0.07463788172340621</v>
      </c>
      <c r="C2" s="129">
        <f>E2-'[1]UK'!E2</f>
        <v>-3549</v>
      </c>
      <c r="D2" s="38">
        <f>F2-'[1]UK'!F2</f>
        <v>-5479</v>
      </c>
      <c r="E2" s="43">
        <v>10030</v>
      </c>
      <c r="F2" s="145">
        <v>10839</v>
      </c>
      <c r="G2" s="145">
        <v>9625</v>
      </c>
      <c r="H2" s="38">
        <v>4105</v>
      </c>
      <c r="I2" s="38">
        <v>8940</v>
      </c>
      <c r="J2" s="38">
        <v>11500</v>
      </c>
      <c r="K2" s="38">
        <v>8500</v>
      </c>
      <c r="L2" s="38">
        <v>6100</v>
      </c>
      <c r="M2" s="38">
        <v>2500</v>
      </c>
      <c r="N2" s="38">
        <v>7300</v>
      </c>
      <c r="O2" s="38">
        <v>6000</v>
      </c>
      <c r="P2" s="38">
        <v>8600</v>
      </c>
      <c r="Q2" s="38">
        <v>2500</v>
      </c>
      <c r="R2" s="38">
        <v>3600</v>
      </c>
      <c r="S2" s="65">
        <v>1000</v>
      </c>
    </row>
    <row r="3" spans="1:19" ht="12.75">
      <c r="A3" s="40" t="s">
        <v>36</v>
      </c>
      <c r="B3" s="47">
        <f aca="true" t="shared" si="0" ref="B3:B12">(E3-F3)/F3</f>
        <v>0.011168204697986578</v>
      </c>
      <c r="C3" s="129">
        <f>E3-'[1]UK'!E3</f>
        <v>-2574</v>
      </c>
      <c r="D3" s="38">
        <f>F3-'[1]UK'!F3</f>
        <v>-2313</v>
      </c>
      <c r="E3" s="43">
        <v>19285</v>
      </c>
      <c r="F3" s="145">
        <v>19072</v>
      </c>
      <c r="G3" s="145">
        <v>26000</v>
      </c>
      <c r="H3" s="38">
        <v>25000</v>
      </c>
      <c r="I3" s="38">
        <v>5480</v>
      </c>
      <c r="J3" s="38">
        <v>22000</v>
      </c>
      <c r="K3" s="38">
        <v>38000</v>
      </c>
      <c r="L3" s="38">
        <v>31000</v>
      </c>
      <c r="M3" s="38">
        <v>14000</v>
      </c>
      <c r="N3" s="38">
        <v>34000</v>
      </c>
      <c r="O3" s="38">
        <v>38000</v>
      </c>
      <c r="P3" s="38">
        <v>35000</v>
      </c>
      <c r="Q3" s="38">
        <v>34000</v>
      </c>
      <c r="R3" s="38">
        <v>31000</v>
      </c>
      <c r="S3" s="65">
        <v>35000</v>
      </c>
    </row>
    <row r="4" spans="1:19" ht="12.75">
      <c r="A4" s="40" t="s">
        <v>29</v>
      </c>
      <c r="B4" s="47">
        <f t="shared" si="0"/>
        <v>1.2869742198100407</v>
      </c>
      <c r="C4" s="129">
        <f>E4-'[1]UK'!E4</f>
        <v>-842</v>
      </c>
      <c r="D4" s="38">
        <f>F4-'[1]UK'!F4</f>
        <v>-1038</v>
      </c>
      <c r="E4" s="43">
        <v>3371</v>
      </c>
      <c r="F4" s="145">
        <v>1474</v>
      </c>
      <c r="G4" s="145">
        <v>1793</v>
      </c>
      <c r="H4" s="38">
        <v>354</v>
      </c>
      <c r="I4" s="38"/>
      <c r="J4" s="38">
        <v>1500</v>
      </c>
      <c r="K4" s="38">
        <v>0</v>
      </c>
      <c r="L4" s="38">
        <v>500</v>
      </c>
      <c r="M4" s="38"/>
      <c r="N4" s="38"/>
      <c r="O4" s="38"/>
      <c r="P4" s="38">
        <v>700</v>
      </c>
      <c r="Q4" s="38">
        <v>200</v>
      </c>
      <c r="R4" s="38"/>
      <c r="S4" s="65"/>
    </row>
    <row r="5" spans="1:19" ht="12.75">
      <c r="A5" s="40" t="s">
        <v>5</v>
      </c>
      <c r="B5" s="47">
        <f t="shared" si="0"/>
        <v>-0.3130287648054145</v>
      </c>
      <c r="C5" s="129">
        <f>E5-'[1]UK'!E5</f>
        <v>-870</v>
      </c>
      <c r="D5" s="38">
        <f>F5-'[1]UK'!F5</f>
        <v>-1631</v>
      </c>
      <c r="E5" s="43">
        <v>812</v>
      </c>
      <c r="F5" s="145">
        <v>1182</v>
      </c>
      <c r="G5" s="145">
        <v>1764</v>
      </c>
      <c r="H5" s="38">
        <v>234</v>
      </c>
      <c r="I5" s="38">
        <v>2030</v>
      </c>
      <c r="J5" s="38">
        <v>5100</v>
      </c>
      <c r="K5" s="38">
        <v>900</v>
      </c>
      <c r="L5" s="38">
        <v>6200</v>
      </c>
      <c r="M5" s="38">
        <v>2000</v>
      </c>
      <c r="N5" s="38">
        <v>4700</v>
      </c>
      <c r="O5" s="38">
        <v>7000</v>
      </c>
      <c r="P5" s="38">
        <v>6500</v>
      </c>
      <c r="Q5" s="38">
        <v>3000</v>
      </c>
      <c r="R5" s="38">
        <v>7500</v>
      </c>
      <c r="S5" s="65">
        <v>3000</v>
      </c>
    </row>
    <row r="6" spans="1:19" ht="12.75">
      <c r="A6" s="40" t="s">
        <v>9</v>
      </c>
      <c r="B6" s="47">
        <f t="shared" si="0"/>
        <v>-0.09996675689794368</v>
      </c>
      <c r="C6" s="129">
        <f>E6-'[1]UK'!E6</f>
        <v>-7964</v>
      </c>
      <c r="D6" s="38">
        <f>F6-'[1]UK'!F6</f>
        <v>-7496</v>
      </c>
      <c r="E6" s="43">
        <v>18952</v>
      </c>
      <c r="F6" s="145">
        <v>21057</v>
      </c>
      <c r="G6" s="145">
        <v>18922</v>
      </c>
      <c r="H6" s="38">
        <v>14802</v>
      </c>
      <c r="I6" s="38">
        <v>10510</v>
      </c>
      <c r="J6" s="38">
        <v>18100</v>
      </c>
      <c r="K6" s="38">
        <v>7200</v>
      </c>
      <c r="L6" s="38">
        <v>6300</v>
      </c>
      <c r="M6" s="38">
        <v>6000</v>
      </c>
      <c r="N6" s="38">
        <v>6500</v>
      </c>
      <c r="O6" s="38">
        <v>5500</v>
      </c>
      <c r="P6" s="38">
        <v>3500</v>
      </c>
      <c r="Q6" s="38">
        <v>1700</v>
      </c>
      <c r="R6" s="38">
        <v>800</v>
      </c>
      <c r="S6" s="65"/>
    </row>
    <row r="7" spans="1:20" ht="12.75">
      <c r="A7" s="40" t="s">
        <v>27</v>
      </c>
      <c r="B7" s="47">
        <f t="shared" si="0"/>
        <v>-1</v>
      </c>
      <c r="C7" s="129">
        <f>E7-'[1]UK'!E7</f>
        <v>0</v>
      </c>
      <c r="D7" s="38">
        <f>F7-'[1]UK'!F7</f>
        <v>-94</v>
      </c>
      <c r="E7" s="43">
        <v>0</v>
      </c>
      <c r="F7" s="145">
        <v>56</v>
      </c>
      <c r="G7" s="145">
        <v>100</v>
      </c>
      <c r="H7" s="38"/>
      <c r="I7" s="38"/>
      <c r="J7" s="38">
        <v>0</v>
      </c>
      <c r="K7" s="38">
        <v>0</v>
      </c>
      <c r="L7" s="38">
        <v>0</v>
      </c>
      <c r="M7" s="38">
        <v>0</v>
      </c>
      <c r="N7" s="38"/>
      <c r="O7" s="38">
        <v>0</v>
      </c>
      <c r="P7" s="38">
        <v>100</v>
      </c>
      <c r="Q7" s="38">
        <v>500</v>
      </c>
      <c r="R7" s="38">
        <v>1000</v>
      </c>
      <c r="S7" s="65"/>
      <c r="T7" s="1"/>
    </row>
    <row r="8" spans="1:19" ht="12.75">
      <c r="A8" s="40" t="s">
        <v>26</v>
      </c>
      <c r="B8" s="47"/>
      <c r="C8" s="129">
        <f>E8-'[1]UK'!E8</f>
        <v>0</v>
      </c>
      <c r="D8" s="38">
        <f>F8-'[1]UK'!F8</f>
        <v>0</v>
      </c>
      <c r="E8" s="43"/>
      <c r="F8" s="145"/>
      <c r="G8" s="145"/>
      <c r="H8" s="38">
        <v>305</v>
      </c>
      <c r="I8" s="38"/>
      <c r="J8" s="38">
        <v>1500</v>
      </c>
      <c r="K8" s="38">
        <v>0</v>
      </c>
      <c r="L8" s="38">
        <v>2000</v>
      </c>
      <c r="M8" s="38">
        <v>0</v>
      </c>
      <c r="N8" s="38">
        <v>0</v>
      </c>
      <c r="O8" s="38">
        <v>1000</v>
      </c>
      <c r="P8" s="38">
        <v>1000</v>
      </c>
      <c r="Q8" s="38">
        <v>1000</v>
      </c>
      <c r="R8" s="38"/>
      <c r="S8" s="65"/>
    </row>
    <row r="9" spans="1:19" ht="12.75">
      <c r="A9" s="40" t="s">
        <v>35</v>
      </c>
      <c r="B9" s="47">
        <f t="shared" si="0"/>
        <v>0.8875</v>
      </c>
      <c r="C9" s="129">
        <f>E9-'[1]UK'!E9</f>
        <v>-51</v>
      </c>
      <c r="D9" s="38">
        <f>F9-'[1]UK'!F9</f>
        <v>-20</v>
      </c>
      <c r="E9" s="43">
        <v>151</v>
      </c>
      <c r="F9" s="145">
        <v>80</v>
      </c>
      <c r="G9" s="145">
        <v>85</v>
      </c>
      <c r="H9" s="38"/>
      <c r="I9" s="38"/>
      <c r="J9" s="38">
        <v>0</v>
      </c>
      <c r="K9" s="38">
        <v>0</v>
      </c>
      <c r="L9" s="38">
        <v>0</v>
      </c>
      <c r="M9" s="38">
        <v>0</v>
      </c>
      <c r="N9" s="38"/>
      <c r="O9" s="38">
        <v>0</v>
      </c>
      <c r="P9" s="38">
        <v>0</v>
      </c>
      <c r="Q9" s="38">
        <v>0</v>
      </c>
      <c r="R9" s="38"/>
      <c r="S9" s="65"/>
    </row>
    <row r="10" spans="1:19" ht="12.75">
      <c r="A10" s="40" t="s">
        <v>135</v>
      </c>
      <c r="B10" s="47">
        <f t="shared" si="0"/>
        <v>-0.012429831595829992</v>
      </c>
      <c r="C10" s="129">
        <f>E10-'[1]UK'!E10</f>
        <v>-1573</v>
      </c>
      <c r="D10" s="38">
        <f>F10-'[1]UK'!F10</f>
        <v>-1390</v>
      </c>
      <c r="E10" s="43">
        <v>4926</v>
      </c>
      <c r="F10" s="145">
        <v>4988</v>
      </c>
      <c r="G10" s="145">
        <v>4500</v>
      </c>
      <c r="H10" s="38">
        <f>3317</f>
        <v>3317</v>
      </c>
      <c r="I10" s="38"/>
      <c r="J10" s="38">
        <v>4900</v>
      </c>
      <c r="K10" s="38">
        <v>5000</v>
      </c>
      <c r="L10" s="38">
        <v>3000</v>
      </c>
      <c r="M10" s="38">
        <v>1500</v>
      </c>
      <c r="N10" s="38">
        <v>800</v>
      </c>
      <c r="O10" s="38">
        <v>3000</v>
      </c>
      <c r="P10" s="38">
        <v>3000</v>
      </c>
      <c r="Q10" s="38"/>
      <c r="R10" s="38"/>
      <c r="S10" s="65"/>
    </row>
    <row r="11" spans="1:19" ht="13.5" thickBot="1">
      <c r="A11" s="41" t="s">
        <v>6</v>
      </c>
      <c r="B11" s="47">
        <f t="shared" si="0"/>
        <v>-0.7635947338294219</v>
      </c>
      <c r="C11" s="130">
        <f>E11-'[1]UK'!E11</f>
        <v>-28</v>
      </c>
      <c r="D11" s="38">
        <f>F11-'[1]UK'!F11</f>
        <v>-715</v>
      </c>
      <c r="E11" s="43">
        <v>413</v>
      </c>
      <c r="F11" s="145">
        <v>1747</v>
      </c>
      <c r="G11" s="145">
        <v>1578</v>
      </c>
      <c r="H11" s="38">
        <v>305</v>
      </c>
      <c r="I11" s="37">
        <v>4580</v>
      </c>
      <c r="J11" s="38">
        <v>600</v>
      </c>
      <c r="K11" s="38">
        <v>500</v>
      </c>
      <c r="L11" s="38">
        <v>500</v>
      </c>
      <c r="M11" s="38">
        <v>0</v>
      </c>
      <c r="N11" s="38">
        <v>100</v>
      </c>
      <c r="O11" s="38">
        <v>500</v>
      </c>
      <c r="P11" s="38">
        <v>500</v>
      </c>
      <c r="Q11" s="38">
        <v>2000</v>
      </c>
      <c r="R11" s="38">
        <v>2000</v>
      </c>
      <c r="S11" s="66">
        <v>1000</v>
      </c>
    </row>
    <row r="12" spans="1:19" ht="13.5" thickBot="1">
      <c r="A12" s="42" t="s">
        <v>92</v>
      </c>
      <c r="B12" s="143">
        <f t="shared" si="0"/>
        <v>-0.04223489544590462</v>
      </c>
      <c r="C12" s="70">
        <f>E12-'[1]UK'!E12</f>
        <v>-17451</v>
      </c>
      <c r="D12" s="46">
        <f>F12-'[1]UK'!F12</f>
        <v>-20176</v>
      </c>
      <c r="E12" s="45">
        <f>SUM(E2:E11)</f>
        <v>57940</v>
      </c>
      <c r="F12" s="146">
        <f>SUM(F2:F11)</f>
        <v>60495</v>
      </c>
      <c r="G12" s="146">
        <f>SUM(G2:G11)</f>
        <v>64367</v>
      </c>
      <c r="H12" s="46">
        <f aca="true" t="shared" si="1" ref="H12:M12">SUM(H2:H11)</f>
        <v>48422</v>
      </c>
      <c r="I12" s="46">
        <f t="shared" si="1"/>
        <v>31540</v>
      </c>
      <c r="J12" s="46">
        <f t="shared" si="1"/>
        <v>65200</v>
      </c>
      <c r="K12" s="46">
        <f t="shared" si="1"/>
        <v>60100</v>
      </c>
      <c r="L12" s="46">
        <f t="shared" si="1"/>
        <v>55600</v>
      </c>
      <c r="M12" s="46">
        <f t="shared" si="1"/>
        <v>26000</v>
      </c>
      <c r="N12" s="46">
        <f aca="true" t="shared" si="2" ref="N12:S12">SUM(N2:N11)</f>
        <v>53400</v>
      </c>
      <c r="O12" s="46">
        <f t="shared" si="2"/>
        <v>61000</v>
      </c>
      <c r="P12" s="46">
        <f t="shared" si="2"/>
        <v>58900</v>
      </c>
      <c r="Q12" s="46">
        <f t="shared" si="2"/>
        <v>44900</v>
      </c>
      <c r="R12" s="46">
        <f t="shared" si="2"/>
        <v>45900</v>
      </c>
      <c r="S12" s="35">
        <f t="shared" si="2"/>
        <v>40000</v>
      </c>
    </row>
    <row r="13" spans="2:3" ht="12.75">
      <c r="B13" s="105"/>
      <c r="C13" s="105"/>
    </row>
    <row r="14" spans="2:19" ht="13.5" thickBot="1">
      <c r="B14" s="106"/>
      <c r="C14" s="106"/>
      <c r="D14" s="3"/>
      <c r="E14" s="3"/>
      <c r="F14" s="157"/>
      <c r="G14" s="15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52" customFormat="1" ht="13.5" thickBot="1">
      <c r="A15" s="53" t="s">
        <v>91</v>
      </c>
      <c r="B15" s="24" t="s">
        <v>175</v>
      </c>
      <c r="C15" s="49" t="s">
        <v>176</v>
      </c>
      <c r="D15" s="25" t="s">
        <v>170</v>
      </c>
      <c r="E15" s="115">
        <v>44256</v>
      </c>
      <c r="F15" s="147">
        <v>43891</v>
      </c>
      <c r="G15" s="147">
        <v>43525</v>
      </c>
      <c r="H15" s="25">
        <v>43160</v>
      </c>
      <c r="I15" s="25">
        <v>42795</v>
      </c>
      <c r="J15" s="25">
        <v>42430</v>
      </c>
      <c r="K15" s="25">
        <f>K1</f>
        <v>42064</v>
      </c>
      <c r="L15" s="25">
        <v>41699</v>
      </c>
      <c r="M15" s="25">
        <v>41334</v>
      </c>
      <c r="N15" s="25">
        <v>40969</v>
      </c>
      <c r="O15" s="25">
        <v>40603</v>
      </c>
      <c r="P15" s="25">
        <v>40238</v>
      </c>
      <c r="Q15" s="25">
        <v>39873</v>
      </c>
      <c r="R15" s="25">
        <v>39508</v>
      </c>
      <c r="S15" s="26">
        <v>39142</v>
      </c>
    </row>
    <row r="16" spans="1:19" s="52" customFormat="1" ht="12.75">
      <c r="A16" s="54" t="s">
        <v>7</v>
      </c>
      <c r="B16" s="107">
        <f>(E16-F16)/F16</f>
        <v>0.8421768707482993</v>
      </c>
      <c r="C16" s="129">
        <f>E16-'[1]UK'!E16</f>
        <v>-1392</v>
      </c>
      <c r="D16" s="57">
        <f>F16-'[1]UK'!F16</f>
        <v>-1957</v>
      </c>
      <c r="E16" s="56">
        <v>2708</v>
      </c>
      <c r="F16" s="153">
        <v>1470</v>
      </c>
      <c r="G16" s="153">
        <v>2779</v>
      </c>
      <c r="H16" s="57">
        <v>3641</v>
      </c>
      <c r="I16" s="57">
        <v>3750</v>
      </c>
      <c r="J16" s="57">
        <v>4600</v>
      </c>
      <c r="K16" s="57">
        <v>3500</v>
      </c>
      <c r="L16" s="57">
        <v>5400</v>
      </c>
      <c r="M16" s="57">
        <v>4500</v>
      </c>
      <c r="N16" s="57">
        <v>4600</v>
      </c>
      <c r="O16" s="57">
        <v>5000</v>
      </c>
      <c r="P16" s="57">
        <v>8500</v>
      </c>
      <c r="Q16" s="57">
        <v>3400</v>
      </c>
      <c r="R16" s="57">
        <v>2000</v>
      </c>
      <c r="S16" s="67">
        <v>3000</v>
      </c>
    </row>
    <row r="17" spans="1:19" s="52" customFormat="1" ht="12.75">
      <c r="A17" s="54" t="s">
        <v>93</v>
      </c>
      <c r="B17" s="107"/>
      <c r="C17" s="129">
        <f>E17-'[1]UK'!E17</f>
        <v>-83</v>
      </c>
      <c r="D17" s="57">
        <f>F17-'[1]UK'!F17</f>
        <v>-160</v>
      </c>
      <c r="E17" s="56">
        <v>239</v>
      </c>
      <c r="F17" s="153">
        <v>0</v>
      </c>
      <c r="G17" s="153">
        <v>33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67">
        <v>0</v>
      </c>
    </row>
    <row r="18" spans="1:19" s="52" customFormat="1" ht="13.5" thickBot="1">
      <c r="A18" s="58" t="s">
        <v>6</v>
      </c>
      <c r="B18" s="107">
        <f>(E18-F18)/F18</f>
        <v>1.7047619047619047</v>
      </c>
      <c r="C18" s="130">
        <f>E18-'[1]UK'!E18</f>
        <v>-8</v>
      </c>
      <c r="D18" s="57">
        <f>F18-'[1]UK'!F18</f>
        <v>-5</v>
      </c>
      <c r="E18" s="56">
        <v>284</v>
      </c>
      <c r="F18" s="153">
        <v>105</v>
      </c>
      <c r="G18" s="153"/>
      <c r="H18" s="57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8">
        <v>0</v>
      </c>
    </row>
    <row r="19" spans="1:19" s="52" customFormat="1" ht="13.5" thickBot="1">
      <c r="A19" s="61" t="s">
        <v>92</v>
      </c>
      <c r="B19" s="156">
        <f>(E19-F19)/F19</f>
        <v>1.0514285714285714</v>
      </c>
      <c r="C19" s="70">
        <f>E19-'[1]UK'!E19</f>
        <v>-1483</v>
      </c>
      <c r="D19" s="80">
        <f>F19-'[1]UK'!F19</f>
        <v>-2122</v>
      </c>
      <c r="E19" s="63">
        <f>SUM(E16:E18)</f>
        <v>3231</v>
      </c>
      <c r="F19" s="154">
        <f>SUM(F16:F18)</f>
        <v>1575</v>
      </c>
      <c r="G19" s="154">
        <f>SUM(G16:G18)</f>
        <v>2812</v>
      </c>
      <c r="H19" s="80">
        <f>SUM(H16:H18)</f>
        <v>3641</v>
      </c>
      <c r="I19" s="80">
        <f>SUM(I16:I18)</f>
        <v>3750</v>
      </c>
      <c r="J19" s="80">
        <v>4600</v>
      </c>
      <c r="K19" s="80">
        <f>SUM(K16:K18)</f>
        <v>3500</v>
      </c>
      <c r="L19" s="80">
        <f>SUM(L16:L18)</f>
        <v>5400</v>
      </c>
      <c r="M19" s="80">
        <f>SUM(M16:M18)</f>
        <v>4500</v>
      </c>
      <c r="N19" s="80">
        <f aca="true" t="shared" si="3" ref="N19:S19">SUM(N16:N18)</f>
        <v>4600</v>
      </c>
      <c r="O19" s="80">
        <f t="shared" si="3"/>
        <v>5000</v>
      </c>
      <c r="P19" s="80">
        <f t="shared" si="3"/>
        <v>8500</v>
      </c>
      <c r="Q19" s="80">
        <f t="shared" si="3"/>
        <v>3400</v>
      </c>
      <c r="R19" s="64">
        <f t="shared" si="3"/>
        <v>2000</v>
      </c>
      <c r="S19" s="69">
        <f t="shared" si="3"/>
        <v>3000</v>
      </c>
    </row>
    <row r="20" spans="1:7" s="52" customFormat="1" ht="12.75">
      <c r="A20" s="52" t="s">
        <v>166</v>
      </c>
      <c r="F20" s="158"/>
      <c r="G20" s="153"/>
    </row>
    <row r="21" spans="6:7" s="52" customFormat="1" ht="12.75">
      <c r="F21" s="158"/>
      <c r="G21" s="158"/>
    </row>
    <row r="22" spans="6:8" s="52" customFormat="1" ht="15">
      <c r="F22" s="158"/>
      <c r="G22" s="159"/>
      <c r="H22" s="102"/>
    </row>
    <row r="23" spans="7:8" ht="15">
      <c r="G23" s="159"/>
      <c r="H23" s="102"/>
    </row>
    <row r="24" spans="5:8" ht="15">
      <c r="E24" s="1"/>
      <c r="F24" s="1"/>
      <c r="G24" s="159"/>
      <c r="H24" s="102"/>
    </row>
    <row r="25" spans="7:8" ht="15">
      <c r="G25" s="159"/>
      <c r="H25" s="102"/>
    </row>
    <row r="26" spans="7:8" ht="15">
      <c r="G26" s="159"/>
      <c r="H26" s="102"/>
    </row>
    <row r="27" spans="7:8" ht="15">
      <c r="G27" s="159"/>
      <c r="H27" s="102"/>
    </row>
    <row r="28" spans="7:8" ht="15">
      <c r="G28" s="159"/>
      <c r="H28" s="102"/>
    </row>
    <row r="29" spans="7:8" ht="15">
      <c r="G29" s="159"/>
      <c r="H29" s="102"/>
    </row>
    <row r="30" spans="7:8" ht="15">
      <c r="G30" s="159"/>
      <c r="H30" s="102"/>
    </row>
    <row r="31" spans="7:8" ht="15">
      <c r="G31" s="159"/>
      <c r="H31" s="102"/>
    </row>
    <row r="32" spans="7:8" ht="15">
      <c r="G32" s="159"/>
      <c r="H32" s="102"/>
    </row>
    <row r="33" spans="7:8" ht="15">
      <c r="G33" s="159"/>
      <c r="H33" s="102"/>
    </row>
    <row r="34" spans="7:8" ht="15">
      <c r="G34" s="160"/>
      <c r="H34" s="103"/>
    </row>
    <row r="35" spans="7:8" ht="15">
      <c r="G35" s="161"/>
      <c r="H35" s="104"/>
    </row>
    <row r="36" spans="7:8" ht="15">
      <c r="G36" s="159"/>
      <c r="H36" s="102"/>
    </row>
    <row r="37" spans="7:8" ht="15">
      <c r="G37" s="159"/>
      <c r="H37" s="102"/>
    </row>
    <row r="38" spans="7:8" ht="15">
      <c r="G38" s="159"/>
      <c r="H38" s="102"/>
    </row>
    <row r="39" spans="7:8" ht="15">
      <c r="G39" s="159"/>
      <c r="H39" s="102"/>
    </row>
    <row r="40" spans="7:8" ht="15">
      <c r="G40" s="159"/>
      <c r="H40" s="102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zoomScale="90" zoomScaleNormal="90" zoomScalePageLayoutView="0" workbookViewId="0" topLeftCell="A1">
      <selection activeCell="D35" sqref="D35"/>
    </sheetView>
  </sheetViews>
  <sheetFormatPr defaultColWidth="8.8515625" defaultRowHeight="12.75"/>
  <cols>
    <col min="1" max="1" width="25.00390625" style="0" customWidth="1"/>
    <col min="2" max="2" width="10.7109375" style="0" customWidth="1"/>
    <col min="3" max="4" width="11.28125" style="0" bestFit="1" customWidth="1"/>
    <col min="5" max="5" width="11.28125" style="0" customWidth="1"/>
    <col min="6" max="6" width="11.28125" style="152" customWidth="1"/>
    <col min="7" max="8" width="11.28125" style="0" customWidth="1"/>
    <col min="9" max="17" width="10.140625" style="0" bestFit="1" customWidth="1"/>
    <col min="18" max="19" width="10.140625" style="3" bestFit="1" customWidth="1"/>
    <col min="20" max="21" width="8.8515625" style="0" customWidth="1"/>
    <col min="22" max="22" width="12.140625" style="0" bestFit="1" customWidth="1"/>
    <col min="23" max="23" width="10.28125" style="0" bestFit="1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25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20" t="s">
        <v>11</v>
      </c>
      <c r="B2" s="27">
        <f>(E2-F2)/F2</f>
        <v>-0.35224134268111323</v>
      </c>
      <c r="C2" s="50">
        <f>E2-'[1]US'!E2</f>
        <v>-495</v>
      </c>
      <c r="D2" s="1">
        <f>F2-'[1]US'!F2</f>
        <v>-1524</v>
      </c>
      <c r="E2" s="114">
        <v>3049</v>
      </c>
      <c r="F2" s="148">
        <v>4707</v>
      </c>
      <c r="G2" s="1">
        <v>7203</v>
      </c>
      <c r="H2" s="1">
        <v>6403</v>
      </c>
      <c r="I2" s="38">
        <v>10500</v>
      </c>
      <c r="J2" s="1">
        <v>6289</v>
      </c>
      <c r="K2" s="1">
        <v>22220</v>
      </c>
      <c r="L2" s="1">
        <v>9242</v>
      </c>
      <c r="M2" s="1">
        <v>18904</v>
      </c>
      <c r="N2" s="1">
        <v>15016</v>
      </c>
      <c r="O2" s="1">
        <v>31709.61887477314</v>
      </c>
      <c r="P2" s="1">
        <v>25116.152450090744</v>
      </c>
      <c r="Q2" s="1">
        <v>31080.76225045372</v>
      </c>
      <c r="R2" s="38">
        <v>28050.816696914702</v>
      </c>
      <c r="S2" s="65">
        <v>23420.145190562613</v>
      </c>
    </row>
    <row r="3" spans="1:19" ht="12.75">
      <c r="A3" s="20" t="s">
        <v>33</v>
      </c>
      <c r="B3" s="27">
        <f aca="true" t="shared" si="0" ref="B3:B27">(E3-F3)/F3</f>
        <v>0.5299055613850997</v>
      </c>
      <c r="C3" s="50">
        <f>E3-'[1]US'!E3</f>
        <v>-1410</v>
      </c>
      <c r="D3" s="1">
        <f>F3-'[1]US'!F3</f>
        <v>-762</v>
      </c>
      <c r="E3" s="114">
        <v>2916</v>
      </c>
      <c r="F3" s="148">
        <v>1906</v>
      </c>
      <c r="G3" s="1">
        <v>3316</v>
      </c>
      <c r="H3" s="1">
        <v>2306</v>
      </c>
      <c r="I3" s="1">
        <v>1429</v>
      </c>
      <c r="J3" s="1">
        <v>4211</v>
      </c>
      <c r="K3" s="1">
        <v>2630</v>
      </c>
      <c r="L3" s="1">
        <v>3621</v>
      </c>
      <c r="M3" s="1">
        <v>400</v>
      </c>
      <c r="N3" s="1">
        <v>1906</v>
      </c>
      <c r="O3" s="1">
        <v>2572.595281306715</v>
      </c>
      <c r="P3" s="1">
        <v>2401.0889292196007</v>
      </c>
      <c r="Q3" s="1">
        <v>2896.551724137931</v>
      </c>
      <c r="R3" s="38">
        <v>2667.8765880217784</v>
      </c>
      <c r="S3" s="65">
        <v>1543.557168784029</v>
      </c>
    </row>
    <row r="4" spans="1:19" ht="12.75">
      <c r="A4" s="20" t="s">
        <v>171</v>
      </c>
      <c r="B4" s="27">
        <f t="shared" si="0"/>
        <v>52.41967213114754</v>
      </c>
      <c r="C4" s="50">
        <f>E4-'[1]US'!E4</f>
        <v>-3392</v>
      </c>
      <c r="D4" s="1">
        <f>F4-'[1]US'!F4</f>
        <v>-457</v>
      </c>
      <c r="E4" s="114">
        <v>16293</v>
      </c>
      <c r="F4" s="148">
        <v>305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8"/>
      <c r="S4" s="65"/>
    </row>
    <row r="5" spans="1:21" ht="12.75">
      <c r="A5" s="20" t="s">
        <v>49</v>
      </c>
      <c r="B5" s="27">
        <f t="shared" si="0"/>
        <v>0.8179494079655544</v>
      </c>
      <c r="C5" s="50">
        <f>E5-'[1]US'!E5</f>
        <v>-3697</v>
      </c>
      <c r="D5" s="1">
        <f>F5-'[1]US'!F5</f>
        <v>-1829</v>
      </c>
      <c r="E5" s="114">
        <v>13511</v>
      </c>
      <c r="F5" s="148">
        <v>7432</v>
      </c>
      <c r="G5" s="1">
        <v>15645</v>
      </c>
      <c r="H5" s="1">
        <v>14464</v>
      </c>
      <c r="I5" s="1">
        <v>9890</v>
      </c>
      <c r="J5" s="1">
        <v>14502</v>
      </c>
      <c r="K5" s="1">
        <v>14730</v>
      </c>
      <c r="L5" s="1">
        <v>17246</v>
      </c>
      <c r="M5" s="1">
        <v>2020</v>
      </c>
      <c r="N5" s="1">
        <v>15683</v>
      </c>
      <c r="O5" s="1">
        <v>14997.277676950998</v>
      </c>
      <c r="P5" s="1">
        <v>23458.25771324864</v>
      </c>
      <c r="Q5" s="1">
        <v>17569.872958257714</v>
      </c>
      <c r="R5" s="38">
        <v>18713.248638838475</v>
      </c>
      <c r="S5" s="65">
        <v>23115.24500907441</v>
      </c>
      <c r="U5" s="3"/>
    </row>
    <row r="6" spans="1:19" ht="12.75">
      <c r="A6" s="40" t="s">
        <v>12</v>
      </c>
      <c r="B6" s="27">
        <f t="shared" si="0"/>
        <v>-0.03226672105280107</v>
      </c>
      <c r="C6" s="50">
        <f>E6-'[1]US'!E6</f>
        <v>-34511</v>
      </c>
      <c r="D6" s="1">
        <f>F6-'[1]US'!F6</f>
        <v>-26460</v>
      </c>
      <c r="E6" s="114">
        <v>180310</v>
      </c>
      <c r="F6" s="148">
        <v>186322</v>
      </c>
      <c r="G6" s="1">
        <v>153536</v>
      </c>
      <c r="H6" s="1">
        <v>168572</v>
      </c>
      <c r="I6" s="1">
        <v>140025</v>
      </c>
      <c r="J6" s="1">
        <v>124571</v>
      </c>
      <c r="K6" s="1">
        <v>151040</v>
      </c>
      <c r="L6" s="1">
        <v>115976</v>
      </c>
      <c r="M6" s="1">
        <v>187723</v>
      </c>
      <c r="N6" s="1">
        <v>110431</v>
      </c>
      <c r="O6" s="1">
        <v>137243.1941923775</v>
      </c>
      <c r="P6" s="1">
        <v>103418.33030852994</v>
      </c>
      <c r="Q6" s="1">
        <v>142178.76588021778</v>
      </c>
      <c r="R6" s="38">
        <v>90441.0163339383</v>
      </c>
      <c r="S6" s="65">
        <v>92346.64246823956</v>
      </c>
    </row>
    <row r="7" spans="1:21" ht="12.75">
      <c r="A7" s="20" t="s">
        <v>9</v>
      </c>
      <c r="B7" s="27">
        <f>(E7-F7)/F7</f>
        <v>-0.20957638568455156</v>
      </c>
      <c r="C7" s="50">
        <f>E7-'[1]US'!E7</f>
        <v>-51490</v>
      </c>
      <c r="D7" s="1">
        <f>F7-'[1]US'!F7</f>
        <v>-55626</v>
      </c>
      <c r="E7" s="114">
        <v>238108</v>
      </c>
      <c r="F7" s="148">
        <v>301241</v>
      </c>
      <c r="G7" s="1">
        <v>244606</v>
      </c>
      <c r="H7" s="1">
        <v>265263</v>
      </c>
      <c r="I7" s="1">
        <v>246016</v>
      </c>
      <c r="J7" s="1">
        <v>181701</v>
      </c>
      <c r="K7" s="1">
        <v>245959</v>
      </c>
      <c r="L7" s="1">
        <v>178271</v>
      </c>
      <c r="M7" s="1">
        <v>182178</v>
      </c>
      <c r="N7" s="1">
        <v>161883</v>
      </c>
      <c r="O7" s="1">
        <v>139911.07078039928</v>
      </c>
      <c r="P7" s="1">
        <v>120568.96551724138</v>
      </c>
      <c r="Q7" s="1">
        <v>120549.90925589837</v>
      </c>
      <c r="R7" s="38">
        <v>97053.5390199637</v>
      </c>
      <c r="S7" s="65">
        <v>76758.62068965517</v>
      </c>
      <c r="U7" s="3"/>
    </row>
    <row r="8" spans="1:21" ht="12.75">
      <c r="A8" s="20" t="s">
        <v>3</v>
      </c>
      <c r="B8" s="27">
        <f>(E8-F8)/F8</f>
        <v>-0.4421130461716775</v>
      </c>
      <c r="C8" s="50">
        <f>E8-'[1]US'!E8</f>
        <v>-9604</v>
      </c>
      <c r="D8" s="1">
        <f>F8-'[1]US'!F8</f>
        <v>-12044</v>
      </c>
      <c r="E8" s="114">
        <v>55835</v>
      </c>
      <c r="F8" s="148">
        <v>100083</v>
      </c>
      <c r="G8" s="1">
        <v>56025</v>
      </c>
      <c r="H8" s="1">
        <v>91032</v>
      </c>
      <c r="I8" s="1">
        <v>82819</v>
      </c>
      <c r="J8" s="1">
        <v>96558</v>
      </c>
      <c r="K8" s="1">
        <v>153498</v>
      </c>
      <c r="L8" s="1">
        <v>123961</v>
      </c>
      <c r="M8" s="1">
        <v>141855</v>
      </c>
      <c r="N8" s="1">
        <v>123485</v>
      </c>
      <c r="O8" s="1">
        <v>132860.2540834846</v>
      </c>
      <c r="P8" s="1">
        <v>127009.98185117968</v>
      </c>
      <c r="Q8" s="1">
        <v>168057.16878402903</v>
      </c>
      <c r="R8" s="38">
        <v>127181.48820326678</v>
      </c>
      <c r="S8" s="65">
        <v>101474.59165154265</v>
      </c>
      <c r="U8" s="3"/>
    </row>
    <row r="9" spans="1:21" ht="12.75">
      <c r="A9" s="40" t="s">
        <v>17</v>
      </c>
      <c r="B9" s="27">
        <f t="shared" si="0"/>
        <v>-0.2412720848056537</v>
      </c>
      <c r="C9" s="50">
        <f>E9-'[1]US'!E9</f>
        <v>-26336</v>
      </c>
      <c r="D9" s="1">
        <f>F9-'[1]US'!F9</f>
        <v>-26488</v>
      </c>
      <c r="E9" s="114">
        <v>139568</v>
      </c>
      <c r="F9" s="148">
        <v>183950</v>
      </c>
      <c r="G9" s="1">
        <v>141474</v>
      </c>
      <c r="H9" s="1">
        <v>228389</v>
      </c>
      <c r="I9" s="38">
        <v>125409</v>
      </c>
      <c r="J9" s="38">
        <v>178900</v>
      </c>
      <c r="K9" s="38">
        <v>169525</v>
      </c>
      <c r="L9" s="38">
        <v>162760</v>
      </c>
      <c r="M9" s="38">
        <v>124838</v>
      </c>
      <c r="N9" s="38">
        <v>125924</v>
      </c>
      <c r="O9" s="38">
        <v>122112.5226860254</v>
      </c>
      <c r="P9" s="38">
        <v>107858.43920145191</v>
      </c>
      <c r="Q9" s="38">
        <v>173469.14700544465</v>
      </c>
      <c r="R9" s="38">
        <v>111421.96007259528</v>
      </c>
      <c r="S9" s="65">
        <v>131240.4718693285</v>
      </c>
      <c r="U9" s="3"/>
    </row>
    <row r="10" spans="1:21" ht="15">
      <c r="A10" s="40" t="s">
        <v>159</v>
      </c>
      <c r="B10" s="27">
        <f t="shared" si="0"/>
        <v>0.14481915814860677</v>
      </c>
      <c r="C10" s="50">
        <f>E10-'[1]US'!E10</f>
        <v>-27707</v>
      </c>
      <c r="D10" s="1">
        <f>F10-'[1]US'!F10</f>
        <v>-35025</v>
      </c>
      <c r="E10" s="114">
        <v>141455</v>
      </c>
      <c r="F10" s="148">
        <v>123561</v>
      </c>
      <c r="G10" s="1">
        <v>96615</v>
      </c>
      <c r="H10" s="1">
        <v>82609</v>
      </c>
      <c r="I10" s="38">
        <v>43582</v>
      </c>
      <c r="J10" s="38">
        <v>42610</v>
      </c>
      <c r="K10" s="38">
        <v>22410</v>
      </c>
      <c r="L10" s="38">
        <v>12406</v>
      </c>
      <c r="M10" s="38">
        <v>1963</v>
      </c>
      <c r="N10" s="38"/>
      <c r="O10" s="38"/>
      <c r="P10" s="38"/>
      <c r="Q10" s="38"/>
      <c r="R10" s="112"/>
      <c r="S10" s="113"/>
      <c r="U10" s="3"/>
    </row>
    <row r="11" spans="1:21" ht="12.75">
      <c r="A11" s="20" t="s">
        <v>10</v>
      </c>
      <c r="B11" s="27">
        <f t="shared" si="0"/>
        <v>0.07048224695283518</v>
      </c>
      <c r="C11" s="50">
        <f>E11-'[1]US'!E11</f>
        <v>-877</v>
      </c>
      <c r="D11" s="1">
        <f>F11-'[1]US'!F11</f>
        <v>-438</v>
      </c>
      <c r="E11" s="114">
        <v>2020</v>
      </c>
      <c r="F11" s="148">
        <v>1887</v>
      </c>
      <c r="G11" s="1">
        <v>1029</v>
      </c>
      <c r="H11" s="1">
        <v>1696</v>
      </c>
      <c r="I11" s="1">
        <v>3564</v>
      </c>
      <c r="J11" s="1">
        <v>2744</v>
      </c>
      <c r="K11" s="1">
        <v>3907</v>
      </c>
      <c r="L11" s="1">
        <v>7184</v>
      </c>
      <c r="M11" s="1">
        <v>591</v>
      </c>
      <c r="N11" s="1">
        <v>5507</v>
      </c>
      <c r="O11" s="1">
        <v>990.9255898366606</v>
      </c>
      <c r="P11" s="1">
        <v>5145.19056261343</v>
      </c>
      <c r="Q11" s="1">
        <v>4573.502722323049</v>
      </c>
      <c r="R11" s="38">
        <v>3544.464609800363</v>
      </c>
      <c r="S11" s="65">
        <v>4440.10889292196</v>
      </c>
      <c r="U11" s="3"/>
    </row>
    <row r="12" spans="1:19" ht="12.75">
      <c r="A12" s="20" t="s">
        <v>27</v>
      </c>
      <c r="B12" s="27"/>
      <c r="C12" s="50">
        <f>E12-'[1]US'!E12</f>
        <v>0</v>
      </c>
      <c r="D12" s="1">
        <f>F12-'[1]US'!F12</f>
        <v>0</v>
      </c>
      <c r="E12" s="114"/>
      <c r="F12" s="148"/>
      <c r="G12" s="1">
        <v>7451</v>
      </c>
      <c r="H12" s="1">
        <v>6060</v>
      </c>
      <c r="I12" s="1">
        <v>8347</v>
      </c>
      <c r="J12" s="1">
        <v>5946</v>
      </c>
      <c r="K12" s="1">
        <v>14788</v>
      </c>
      <c r="L12" s="1">
        <v>12825</v>
      </c>
      <c r="M12" s="1">
        <v>6613</v>
      </c>
      <c r="N12" s="1">
        <v>8366</v>
      </c>
      <c r="O12" s="1">
        <v>8365.698729582577</v>
      </c>
      <c r="P12" s="1">
        <v>8823.049001814881</v>
      </c>
      <c r="Q12" s="1">
        <v>10042.649727767695</v>
      </c>
      <c r="R12" s="38">
        <v>3963.7023593466424</v>
      </c>
      <c r="S12" s="65">
        <v>6193.284936479129</v>
      </c>
    </row>
    <row r="13" spans="1:19" ht="12.75">
      <c r="A13" s="20" t="s">
        <v>50</v>
      </c>
      <c r="B13" s="27">
        <f t="shared" si="0"/>
        <v>0.5</v>
      </c>
      <c r="C13" s="50">
        <f>E13-'[1]US'!E13</f>
        <v>-172</v>
      </c>
      <c r="D13" s="1">
        <f>F13-'[1]US'!F13</f>
        <v>-553</v>
      </c>
      <c r="E13" s="114">
        <v>1143</v>
      </c>
      <c r="F13" s="148">
        <v>762</v>
      </c>
      <c r="G13" s="1">
        <v>2039</v>
      </c>
      <c r="H13" s="1">
        <v>0</v>
      </c>
      <c r="I13" s="1">
        <v>2153</v>
      </c>
      <c r="J13" s="1">
        <v>4002</v>
      </c>
      <c r="K13" s="1">
        <v>2687</v>
      </c>
      <c r="L13" s="1">
        <v>4154</v>
      </c>
      <c r="M13" s="1">
        <v>57</v>
      </c>
      <c r="N13" s="1">
        <v>4326</v>
      </c>
      <c r="O13" s="1">
        <v>1543.557168784029</v>
      </c>
      <c r="P13" s="1">
        <v>8537.205081669692</v>
      </c>
      <c r="Q13" s="1">
        <v>3010.8892921960073</v>
      </c>
      <c r="R13" s="38">
        <v>1410.1633393829402</v>
      </c>
      <c r="S13" s="65">
        <v>2515.426497277677</v>
      </c>
    </row>
    <row r="14" spans="1:21" ht="12.75">
      <c r="A14" s="20" t="s">
        <v>51</v>
      </c>
      <c r="B14" s="27">
        <f t="shared" si="0"/>
        <v>-0.14369789112309955</v>
      </c>
      <c r="C14" s="50">
        <f>E14-'[1]US'!E14</f>
        <v>-2249</v>
      </c>
      <c r="D14" s="1">
        <f>F14-'[1]US'!F14</f>
        <v>-5488</v>
      </c>
      <c r="E14" s="114">
        <v>13968</v>
      </c>
      <c r="F14" s="148">
        <v>16312</v>
      </c>
      <c r="G14" s="1">
        <v>18713</v>
      </c>
      <c r="H14" s="1">
        <v>17875</v>
      </c>
      <c r="I14" s="1">
        <v>12177</v>
      </c>
      <c r="J14" s="1">
        <v>28661</v>
      </c>
      <c r="K14" s="1">
        <v>22334</v>
      </c>
      <c r="L14" s="1">
        <v>23287</v>
      </c>
      <c r="M14" s="1">
        <v>6460</v>
      </c>
      <c r="N14" s="1">
        <v>16598</v>
      </c>
      <c r="O14" s="1">
        <v>12424.682395644282</v>
      </c>
      <c r="P14" s="1">
        <v>30718.69328493648</v>
      </c>
      <c r="Q14" s="1">
        <v>21609.800362976406</v>
      </c>
      <c r="R14" s="38">
        <v>19647.005444646096</v>
      </c>
      <c r="S14" s="65">
        <v>16998.185117967332</v>
      </c>
      <c r="U14" s="3"/>
    </row>
    <row r="15" spans="1:19" ht="12.75">
      <c r="A15" s="40" t="s">
        <v>52</v>
      </c>
      <c r="B15" s="27">
        <f t="shared" si="0"/>
        <v>-0.2676056338028169</v>
      </c>
      <c r="C15" s="50">
        <f>E15-'[1]US'!E15</f>
        <v>-152</v>
      </c>
      <c r="D15" s="1">
        <f>F15-'[1]US'!F15</f>
        <v>-172</v>
      </c>
      <c r="E15" s="114">
        <v>572</v>
      </c>
      <c r="F15" s="148">
        <v>781</v>
      </c>
      <c r="G15" s="1">
        <v>1277</v>
      </c>
      <c r="H15" s="1">
        <v>1658</v>
      </c>
      <c r="I15" s="1">
        <v>1162</v>
      </c>
      <c r="J15" s="1">
        <v>838</v>
      </c>
      <c r="K15" s="1">
        <v>877</v>
      </c>
      <c r="L15" s="1">
        <v>1334</v>
      </c>
      <c r="M15" s="1">
        <v>991</v>
      </c>
      <c r="N15" s="1">
        <v>3259</v>
      </c>
      <c r="O15" s="1">
        <v>2477.3139745916515</v>
      </c>
      <c r="P15" s="1">
        <v>2744.1016333938296</v>
      </c>
      <c r="Q15" s="1">
        <v>3353.901996370236</v>
      </c>
      <c r="R15" s="38">
        <v>4268.602540834846</v>
      </c>
      <c r="S15" s="65">
        <v>2591.6515426497276</v>
      </c>
    </row>
    <row r="16" spans="1:21" ht="12.75">
      <c r="A16" s="20" t="s">
        <v>53</v>
      </c>
      <c r="B16" s="27">
        <f t="shared" si="0"/>
        <v>0.7900552486187845</v>
      </c>
      <c r="C16" s="50">
        <f>E16-'[1]US'!E16</f>
        <v>-114</v>
      </c>
      <c r="D16" s="1">
        <f>F16-'[1]US'!F16</f>
        <v>-76</v>
      </c>
      <c r="E16" s="114">
        <v>648</v>
      </c>
      <c r="F16" s="148">
        <v>362</v>
      </c>
      <c r="G16" s="1">
        <v>438</v>
      </c>
      <c r="H16" s="1">
        <v>0</v>
      </c>
      <c r="I16" s="1">
        <v>0</v>
      </c>
      <c r="J16" s="1">
        <v>0</v>
      </c>
      <c r="K16" s="1">
        <v>0</v>
      </c>
      <c r="L16" s="1">
        <v>114</v>
      </c>
      <c r="M16" s="1">
        <v>515</v>
      </c>
      <c r="N16" s="1">
        <v>762</v>
      </c>
      <c r="O16" s="1">
        <v>1448.2758620689656</v>
      </c>
      <c r="P16" s="1">
        <v>38.11252268602541</v>
      </c>
      <c r="Q16" s="1">
        <v>2439.201451905626</v>
      </c>
      <c r="R16" s="38">
        <v>171.50635208711435</v>
      </c>
      <c r="S16" s="65">
        <v>171.50635208711435</v>
      </c>
      <c r="U16" s="3"/>
    </row>
    <row r="17" spans="1:21" ht="12.75">
      <c r="A17" s="20" t="s">
        <v>54</v>
      </c>
      <c r="B17" s="27"/>
      <c r="C17" s="50">
        <f>E17-'[1]US'!E17</f>
        <v>0</v>
      </c>
      <c r="D17" s="1">
        <f>F17-'[1]US'!F17</f>
        <v>0</v>
      </c>
      <c r="E17" s="114"/>
      <c r="F17" s="148">
        <v>0</v>
      </c>
      <c r="G17" s="1"/>
      <c r="H17" s="1">
        <v>0</v>
      </c>
      <c r="I17" s="1">
        <v>0</v>
      </c>
      <c r="J17" s="1">
        <v>0</v>
      </c>
      <c r="K17" s="1">
        <v>0</v>
      </c>
      <c r="L17" s="1">
        <v>324</v>
      </c>
      <c r="M17" s="1">
        <v>19</v>
      </c>
      <c r="N17" s="1">
        <v>0</v>
      </c>
      <c r="O17" s="1">
        <v>0</v>
      </c>
      <c r="P17" s="1">
        <v>38.11252268602541</v>
      </c>
      <c r="Q17" s="1">
        <v>0</v>
      </c>
      <c r="R17" s="38">
        <v>38.11252268602541</v>
      </c>
      <c r="S17" s="65">
        <v>38.11252268602541</v>
      </c>
      <c r="U17" s="3"/>
    </row>
    <row r="18" spans="1:21" ht="12.75">
      <c r="A18" s="40" t="s">
        <v>22</v>
      </c>
      <c r="B18" s="27">
        <f t="shared" si="0"/>
        <v>0.1880046458907656</v>
      </c>
      <c r="C18" s="50">
        <f>E18-'[1]US'!E18</f>
        <v>-12481</v>
      </c>
      <c r="D18" s="1">
        <f>F18-'[1]US'!F18</f>
        <v>-13606</v>
      </c>
      <c r="E18" s="114">
        <v>84896</v>
      </c>
      <c r="F18" s="148">
        <v>71461</v>
      </c>
      <c r="G18" s="1">
        <v>68603</v>
      </c>
      <c r="H18" s="1">
        <v>62867</v>
      </c>
      <c r="I18" s="38">
        <v>69822</v>
      </c>
      <c r="J18" s="38">
        <v>57740</v>
      </c>
      <c r="K18" s="38">
        <v>45678</v>
      </c>
      <c r="L18" s="38">
        <v>36226</v>
      </c>
      <c r="M18" s="38">
        <v>37141</v>
      </c>
      <c r="N18" s="38">
        <v>27613</v>
      </c>
      <c r="O18" s="38">
        <v>32738.656987295824</v>
      </c>
      <c r="P18" s="38">
        <v>34205.98911070781</v>
      </c>
      <c r="Q18" s="38">
        <v>26983.66606170599</v>
      </c>
      <c r="R18" s="38">
        <v>25840.290381125225</v>
      </c>
      <c r="S18" s="65">
        <v>14082.577132486389</v>
      </c>
      <c r="U18" s="3"/>
    </row>
    <row r="19" spans="1:21" ht="12.75">
      <c r="A19" s="40" t="s">
        <v>19</v>
      </c>
      <c r="B19" s="27">
        <f t="shared" si="0"/>
        <v>-0.15144657792060226</v>
      </c>
      <c r="C19" s="50">
        <f>E19-'[1]US'!E19</f>
        <v>-36264</v>
      </c>
      <c r="D19" s="1">
        <f>F19-'[1]US'!F19</f>
        <v>-52329</v>
      </c>
      <c r="E19" s="114">
        <v>265111</v>
      </c>
      <c r="F19" s="148">
        <v>312427</v>
      </c>
      <c r="G19" s="1">
        <v>355132</v>
      </c>
      <c r="H19" s="1">
        <v>373255</v>
      </c>
      <c r="I19" s="38">
        <v>465602</v>
      </c>
      <c r="J19" s="38">
        <v>351226</v>
      </c>
      <c r="K19" s="38">
        <v>552403</v>
      </c>
      <c r="L19" s="38">
        <v>406565</v>
      </c>
      <c r="M19" s="38">
        <v>456207</v>
      </c>
      <c r="N19" s="38">
        <v>409062</v>
      </c>
      <c r="O19" s="38">
        <v>352350.2722323049</v>
      </c>
      <c r="P19" s="38">
        <v>418970.9618874773</v>
      </c>
      <c r="Q19" s="38">
        <v>413520.8711433757</v>
      </c>
      <c r="R19" s="38">
        <v>340535.39019963704</v>
      </c>
      <c r="S19" s="65">
        <v>395836.6606170599</v>
      </c>
      <c r="U19" s="3"/>
    </row>
    <row r="20" spans="1:21" ht="12.75">
      <c r="A20" s="20" t="s">
        <v>55</v>
      </c>
      <c r="B20" s="27">
        <f t="shared" si="0"/>
        <v>-0.4034980055231666</v>
      </c>
      <c r="C20" s="50">
        <f>E20-'[1]US'!E20</f>
        <v>-1048</v>
      </c>
      <c r="D20" s="1">
        <f>F20-'[1]US'!F20</f>
        <v>-324</v>
      </c>
      <c r="E20" s="114">
        <v>1944</v>
      </c>
      <c r="F20" s="148">
        <v>3259</v>
      </c>
      <c r="G20" s="1">
        <v>4211</v>
      </c>
      <c r="H20" s="1">
        <v>3697</v>
      </c>
      <c r="I20" s="1">
        <v>6689</v>
      </c>
      <c r="J20" s="1">
        <v>3983</v>
      </c>
      <c r="K20" s="1">
        <v>4955</v>
      </c>
      <c r="L20" s="1">
        <v>3564</v>
      </c>
      <c r="M20" s="1">
        <v>2668</v>
      </c>
      <c r="N20" s="1">
        <v>7508</v>
      </c>
      <c r="O20" s="1">
        <v>2972.776769509982</v>
      </c>
      <c r="P20" s="1">
        <v>4611.615245009074</v>
      </c>
      <c r="Q20" s="1">
        <v>6803.085299455535</v>
      </c>
      <c r="R20" s="38">
        <v>6078.9473684210525</v>
      </c>
      <c r="S20" s="65">
        <v>6803.085299455535</v>
      </c>
      <c r="U20" s="3"/>
    </row>
    <row r="21" spans="1:19" ht="12.75">
      <c r="A21" s="20" t="s">
        <v>56</v>
      </c>
      <c r="B21" s="27">
        <f t="shared" si="0"/>
        <v>-0.3904109589041096</v>
      </c>
      <c r="C21" s="50">
        <f>E21-'[1]US'!E21</f>
        <v>-114</v>
      </c>
      <c r="D21" s="1">
        <f>F21-'[1]US'!F21</f>
        <v>-305</v>
      </c>
      <c r="E21" s="114">
        <v>267</v>
      </c>
      <c r="F21" s="148">
        <v>438</v>
      </c>
      <c r="G21" s="1">
        <v>400</v>
      </c>
      <c r="H21" s="1">
        <v>743</v>
      </c>
      <c r="I21" s="1">
        <v>2401</v>
      </c>
      <c r="J21" s="1">
        <v>2477</v>
      </c>
      <c r="K21" s="1">
        <v>2230</v>
      </c>
      <c r="L21" s="1">
        <v>5393</v>
      </c>
      <c r="M21" s="1">
        <v>419</v>
      </c>
      <c r="N21" s="1">
        <v>3583</v>
      </c>
      <c r="O21" s="1">
        <v>2972.776769509982</v>
      </c>
      <c r="P21" s="1">
        <v>5202.359346642468</v>
      </c>
      <c r="Q21" s="1">
        <v>6078.9473684210525</v>
      </c>
      <c r="R21" s="38">
        <v>2382.032667876588</v>
      </c>
      <c r="S21" s="65">
        <v>7317.604355716879</v>
      </c>
    </row>
    <row r="22" spans="1:19" ht="12.75">
      <c r="A22" s="20" t="s">
        <v>35</v>
      </c>
      <c r="B22" s="27">
        <f t="shared" si="0"/>
        <v>1.2808302808302807</v>
      </c>
      <c r="C22" s="50">
        <f>E22-'[1]US'!E22</f>
        <v>-285</v>
      </c>
      <c r="D22" s="1">
        <f>F22-'[1]US'!F22</f>
        <v>-172</v>
      </c>
      <c r="E22" s="114">
        <v>1868</v>
      </c>
      <c r="F22" s="148">
        <v>819</v>
      </c>
      <c r="G22" s="1">
        <v>2134</v>
      </c>
      <c r="H22" s="1">
        <v>2230</v>
      </c>
      <c r="I22" s="1">
        <v>896</v>
      </c>
      <c r="J22" s="1">
        <v>2725</v>
      </c>
      <c r="K22" s="1">
        <v>2687</v>
      </c>
      <c r="L22" s="1">
        <v>1429</v>
      </c>
      <c r="M22" s="1">
        <v>248</v>
      </c>
      <c r="N22" s="1">
        <v>2477</v>
      </c>
      <c r="O22" s="1">
        <v>2267.6950998185116</v>
      </c>
      <c r="P22" s="1">
        <v>3353.901996370236</v>
      </c>
      <c r="Q22" s="1">
        <v>2267.6950998185116</v>
      </c>
      <c r="R22" s="38">
        <v>2286.7513611615245</v>
      </c>
      <c r="S22" s="65">
        <v>3715.970961887477</v>
      </c>
    </row>
    <row r="23" spans="1:21" ht="12.75">
      <c r="A23" s="20" t="s">
        <v>21</v>
      </c>
      <c r="B23" s="27">
        <f t="shared" si="0"/>
        <v>0</v>
      </c>
      <c r="C23" s="50">
        <f>E23-'[1]US'!E23</f>
        <v>-39</v>
      </c>
      <c r="D23" s="1">
        <f>F23-'[1]US'!F23</f>
        <v>-19</v>
      </c>
      <c r="E23" s="114">
        <v>133</v>
      </c>
      <c r="F23" s="148">
        <v>133</v>
      </c>
      <c r="G23" s="1">
        <v>267</v>
      </c>
      <c r="H23" s="1">
        <v>362</v>
      </c>
      <c r="I23" s="1">
        <v>267</v>
      </c>
      <c r="J23" s="1">
        <v>400</v>
      </c>
      <c r="K23" s="1">
        <v>591</v>
      </c>
      <c r="L23" s="1">
        <v>324</v>
      </c>
      <c r="M23" s="1">
        <v>305</v>
      </c>
      <c r="N23" s="1">
        <v>400</v>
      </c>
      <c r="O23" s="1">
        <v>533.5753176043557</v>
      </c>
      <c r="P23" s="1">
        <v>609.8003629764065</v>
      </c>
      <c r="Q23" s="1">
        <v>724.1379310344828</v>
      </c>
      <c r="R23" s="38">
        <v>495.4627949183303</v>
      </c>
      <c r="S23" s="65">
        <v>933.7568058076225</v>
      </c>
      <c r="U23" s="3"/>
    </row>
    <row r="24" spans="1:19" ht="12.75">
      <c r="A24" s="40" t="s">
        <v>57</v>
      </c>
      <c r="B24" s="27"/>
      <c r="C24" s="50">
        <f>E24-'[1]US'!E24</f>
        <v>0</v>
      </c>
      <c r="D24" s="1">
        <f>F24-'[1]US'!F24</f>
        <v>0</v>
      </c>
      <c r="E24" s="114"/>
      <c r="F24" s="148">
        <v>0</v>
      </c>
      <c r="G24" s="1"/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533.5753176043557</v>
      </c>
      <c r="Q24" s="1">
        <v>76.22504537205081</v>
      </c>
      <c r="R24" s="38">
        <v>57.168784029038115</v>
      </c>
      <c r="S24" s="65">
        <v>57.168784029038115</v>
      </c>
    </row>
    <row r="25" spans="1:21" ht="12.75">
      <c r="A25" s="20" t="s">
        <v>58</v>
      </c>
      <c r="B25" s="27">
        <f t="shared" si="0"/>
        <v>2.492146596858639</v>
      </c>
      <c r="C25" s="50">
        <f>E25-'[1]US'!E25</f>
        <v>-133</v>
      </c>
      <c r="D25" s="1">
        <f>F25-'[1]US'!F25</f>
        <v>-38</v>
      </c>
      <c r="E25" s="114">
        <v>667</v>
      </c>
      <c r="F25" s="148">
        <v>191</v>
      </c>
      <c r="G25" s="1">
        <v>476</v>
      </c>
      <c r="H25" s="1">
        <v>19</v>
      </c>
      <c r="I25" s="1">
        <v>76</v>
      </c>
      <c r="J25" s="1">
        <v>152</v>
      </c>
      <c r="K25" s="1">
        <v>95</v>
      </c>
      <c r="L25" s="1">
        <v>0.1</v>
      </c>
      <c r="M25" s="1">
        <v>114</v>
      </c>
      <c r="N25" s="1">
        <v>267</v>
      </c>
      <c r="O25" s="1">
        <v>323.95644283121595</v>
      </c>
      <c r="P25" s="1">
        <v>247.73139745916515</v>
      </c>
      <c r="Q25" s="1">
        <v>95.28130671506352</v>
      </c>
      <c r="R25" s="38">
        <v>19.056261343012704</v>
      </c>
      <c r="S25" s="65">
        <v>171.50635208711435</v>
      </c>
      <c r="U25" s="3"/>
    </row>
    <row r="26" spans="1:21" ht="13.5" thickBot="1">
      <c r="A26" s="20" t="s">
        <v>59</v>
      </c>
      <c r="B26" s="27">
        <f t="shared" si="0"/>
        <v>-0.08506620075340598</v>
      </c>
      <c r="C26" s="50">
        <f>E26-'[1]US'!E26</f>
        <v>-21876</v>
      </c>
      <c r="D26" s="1">
        <f>F26-'[1]US'!F26</f>
        <v>-24562</v>
      </c>
      <c r="E26" s="114">
        <f>74453+16141</f>
        <v>90594</v>
      </c>
      <c r="F26" s="148">
        <f>82190+16827</f>
        <v>99017</v>
      </c>
      <c r="G26" s="1">
        <f>56635+11434</f>
        <v>68069</v>
      </c>
      <c r="H26" s="1">
        <v>143856</v>
      </c>
      <c r="I26" s="1">
        <v>95053</v>
      </c>
      <c r="J26" s="1">
        <v>74986</v>
      </c>
      <c r="K26" s="1">
        <v>72547</v>
      </c>
      <c r="L26" s="1">
        <v>53605</v>
      </c>
      <c r="M26" s="1">
        <v>32739</v>
      </c>
      <c r="N26" s="1">
        <v>23877</v>
      </c>
      <c r="O26" s="1">
        <v>26183.303085299456</v>
      </c>
      <c r="P26" s="1">
        <v>27555.353901996372</v>
      </c>
      <c r="Q26" s="1">
        <v>26392.921960072596</v>
      </c>
      <c r="R26" s="38">
        <v>18980.036297640654</v>
      </c>
      <c r="S26" s="65">
        <v>19990.018148820327</v>
      </c>
      <c r="U26" s="3"/>
    </row>
    <row r="27" spans="1:19" ht="13.5" thickBot="1">
      <c r="A27" s="39" t="s">
        <v>23</v>
      </c>
      <c r="B27" s="111">
        <f t="shared" si="0"/>
        <v>-0.11463598418463675</v>
      </c>
      <c r="C27" s="70">
        <f>E27-'[1]US'!E27</f>
        <v>-234446</v>
      </c>
      <c r="D27" s="46">
        <f>F27-'[1]US'!F27</f>
        <v>-258297</v>
      </c>
      <c r="E27" s="45">
        <f>SUM(E2:E26)</f>
        <v>1254876</v>
      </c>
      <c r="F27" s="146">
        <f>SUM(F2:F26)</f>
        <v>1417356</v>
      </c>
      <c r="G27" s="46">
        <f>SUM(G2:G26)</f>
        <v>1248659</v>
      </c>
      <c r="H27" s="46">
        <f aca="true" t="shared" si="1" ref="H27:M27">SUM(H2:H26)</f>
        <v>1473356</v>
      </c>
      <c r="I27" s="46">
        <f t="shared" si="1"/>
        <v>1327879</v>
      </c>
      <c r="J27" s="46">
        <f t="shared" si="1"/>
        <v>1185222</v>
      </c>
      <c r="K27" s="46">
        <f t="shared" si="1"/>
        <v>1507791</v>
      </c>
      <c r="L27" s="46">
        <f t="shared" si="1"/>
        <v>1179811.1</v>
      </c>
      <c r="M27" s="46">
        <f t="shared" si="1"/>
        <v>1204968</v>
      </c>
      <c r="N27" s="46">
        <f aca="true" t="shared" si="2" ref="N27:S27">SUM(N2:N26)</f>
        <v>1067933</v>
      </c>
      <c r="O27" s="46">
        <f t="shared" si="2"/>
        <v>1029000.0000000001</v>
      </c>
      <c r="P27" s="46">
        <f t="shared" si="2"/>
        <v>1061166.9691470054</v>
      </c>
      <c r="Q27" s="46">
        <f t="shared" si="2"/>
        <v>1183774.9546279493</v>
      </c>
      <c r="R27" s="46">
        <f t="shared" si="2"/>
        <v>905248.6388384755</v>
      </c>
      <c r="S27" s="86">
        <f t="shared" si="2"/>
        <v>931755.8983666063</v>
      </c>
    </row>
    <row r="28" spans="2:9" ht="12.75">
      <c r="B28" s="36"/>
      <c r="C28" s="36"/>
      <c r="D28" s="36"/>
      <c r="E28" s="36"/>
      <c r="F28" s="151"/>
      <c r="G28" s="36"/>
      <c r="H28" s="36"/>
      <c r="I28" s="36"/>
    </row>
    <row r="29" spans="2:9" ht="13.5" thickBot="1">
      <c r="B29" s="36"/>
      <c r="C29" s="36"/>
      <c r="D29" s="36"/>
      <c r="E29" s="36"/>
      <c r="F29" s="151"/>
      <c r="G29" s="36"/>
      <c r="H29" s="36"/>
      <c r="I29" s="36"/>
    </row>
    <row r="30" spans="1:19" ht="13.5" thickBot="1">
      <c r="A30" s="23" t="s">
        <v>25</v>
      </c>
      <c r="B30" s="24" t="s">
        <v>175</v>
      </c>
      <c r="C30" s="49" t="s">
        <v>176</v>
      </c>
      <c r="D30" s="25" t="s">
        <v>170</v>
      </c>
      <c r="E30" s="115">
        <v>44256</v>
      </c>
      <c r="F30" s="147">
        <v>43891</v>
      </c>
      <c r="G30" s="25">
        <v>43525</v>
      </c>
      <c r="H30" s="25">
        <v>43160</v>
      </c>
      <c r="I30" s="25">
        <v>42795</v>
      </c>
      <c r="J30" s="25">
        <v>42430</v>
      </c>
      <c r="K30" s="25">
        <f>K1</f>
        <v>42064</v>
      </c>
      <c r="L30" s="25">
        <v>41699</v>
      </c>
      <c r="M30" s="25">
        <v>41334</v>
      </c>
      <c r="N30" s="25">
        <v>40969</v>
      </c>
      <c r="O30" s="25">
        <v>40603</v>
      </c>
      <c r="P30" s="25">
        <v>40238</v>
      </c>
      <c r="Q30" s="25">
        <v>39873</v>
      </c>
      <c r="R30" s="25">
        <v>39508</v>
      </c>
      <c r="S30" s="26">
        <v>39142</v>
      </c>
    </row>
    <row r="31" spans="1:19" ht="12.75">
      <c r="A31" s="20" t="s">
        <v>41</v>
      </c>
      <c r="B31" s="27">
        <f aca="true" t="shared" si="3" ref="B31:B41">(E31-F31)/F31</f>
        <v>-0.04680674206639047</v>
      </c>
      <c r="C31" s="50">
        <f>E31-'[1]US'!E31</f>
        <v>-17919.72</v>
      </c>
      <c r="D31" s="1">
        <f>F31-'[1]US'!F31</f>
        <v>-20050.100000000006</v>
      </c>
      <c r="E31" s="114">
        <v>69033.02</v>
      </c>
      <c r="F31" s="148">
        <v>72422.9</v>
      </c>
      <c r="G31" s="1">
        <v>83560</v>
      </c>
      <c r="H31" s="1">
        <v>81035</v>
      </c>
      <c r="I31" s="1">
        <v>67731</v>
      </c>
      <c r="J31" s="1">
        <v>64916.62</v>
      </c>
      <c r="K31" s="1">
        <v>84952.18</v>
      </c>
      <c r="L31" s="1">
        <v>81546.02</v>
      </c>
      <c r="M31" s="1">
        <v>72348.8</v>
      </c>
      <c r="N31" s="1">
        <v>91117.26</v>
      </c>
      <c r="O31" s="1">
        <v>76267.84</v>
      </c>
      <c r="P31" s="1">
        <v>79752.76</v>
      </c>
      <c r="Q31" s="1">
        <v>59132.78</v>
      </c>
      <c r="R31" s="38">
        <v>65162.22</v>
      </c>
      <c r="S31" s="65">
        <v>45228.84</v>
      </c>
    </row>
    <row r="32" spans="1:19" ht="12.75">
      <c r="A32" s="20" t="s">
        <v>42</v>
      </c>
      <c r="B32" s="97">
        <f t="shared" si="3"/>
        <v>0.8560359866420775</v>
      </c>
      <c r="C32" s="50">
        <f>E32-'[1]US'!E32</f>
        <v>-5996.74</v>
      </c>
      <c r="D32" s="1">
        <f>F32-'[1]US'!F32</f>
        <v>-5789.900000000001</v>
      </c>
      <c r="E32" s="114">
        <v>14895.06</v>
      </c>
      <c r="F32" s="148">
        <v>8025.2</v>
      </c>
      <c r="G32" s="1">
        <v>21312</v>
      </c>
      <c r="H32" s="1">
        <v>11327</v>
      </c>
      <c r="I32" s="1">
        <v>18926</v>
      </c>
      <c r="J32" s="1">
        <v>15198.9</v>
      </c>
      <c r="K32" s="1">
        <v>12779.74</v>
      </c>
      <c r="L32" s="1">
        <v>15956.18</v>
      </c>
      <c r="M32" s="1">
        <v>7816.64</v>
      </c>
      <c r="N32" s="1">
        <v>21010.38</v>
      </c>
      <c r="O32" s="1">
        <v>5310.44</v>
      </c>
      <c r="P32" s="1">
        <v>8843.26</v>
      </c>
      <c r="Q32" s="1">
        <v>13479.04</v>
      </c>
      <c r="R32" s="38">
        <v>7077.16</v>
      </c>
      <c r="S32" s="65">
        <v>5602.12</v>
      </c>
    </row>
    <row r="33" spans="1:19" ht="12.75">
      <c r="A33" s="20" t="s">
        <v>43</v>
      </c>
      <c r="B33" s="97">
        <f t="shared" si="3"/>
        <v>-0.2186047599555582</v>
      </c>
      <c r="C33" s="50">
        <f>E33-'[1]US'!E33</f>
        <v>-2426.34</v>
      </c>
      <c r="D33" s="1">
        <f>F33-'[1]US'!F33</f>
        <v>-2690.8199999999997</v>
      </c>
      <c r="E33" s="114">
        <v>6681.32</v>
      </c>
      <c r="F33" s="148">
        <v>8550.5</v>
      </c>
      <c r="G33" s="1">
        <v>8187</v>
      </c>
      <c r="H33" s="1">
        <v>7317</v>
      </c>
      <c r="I33" s="1">
        <v>7628</v>
      </c>
      <c r="J33" s="1">
        <v>4285.18</v>
      </c>
      <c r="K33" s="1">
        <v>8309.76</v>
      </c>
      <c r="L33" s="1">
        <v>6665.28</v>
      </c>
      <c r="M33" s="1">
        <v>5080.46</v>
      </c>
      <c r="N33" s="1">
        <v>6650.64</v>
      </c>
      <c r="O33" s="1">
        <v>5133.72</v>
      </c>
      <c r="P33" s="1">
        <v>4761.82</v>
      </c>
      <c r="Q33" s="1">
        <v>6075.8</v>
      </c>
      <c r="R33" s="38">
        <v>5878.5</v>
      </c>
      <c r="S33" s="65">
        <v>3591.96</v>
      </c>
    </row>
    <row r="34" spans="1:19" ht="12.75">
      <c r="A34" s="20" t="s">
        <v>44</v>
      </c>
      <c r="B34" s="97">
        <f t="shared" si="3"/>
        <v>-0.9967357910906298</v>
      </c>
      <c r="C34" s="50">
        <f>E34-'[1]US'!E34</f>
        <v>-11.74</v>
      </c>
      <c r="D34" s="1">
        <f>F34-'[1]US'!F34</f>
        <v>-286.32000000000005</v>
      </c>
      <c r="E34" s="114">
        <v>0.34</v>
      </c>
      <c r="F34" s="148">
        <v>104.16</v>
      </c>
      <c r="G34" s="1">
        <v>255</v>
      </c>
      <c r="H34" s="1">
        <v>39</v>
      </c>
      <c r="I34" s="1">
        <v>220</v>
      </c>
      <c r="J34" s="1">
        <v>27.6</v>
      </c>
      <c r="K34" s="1">
        <v>200.26</v>
      </c>
      <c r="L34" s="1">
        <v>294.18</v>
      </c>
      <c r="M34" s="1">
        <v>146.98</v>
      </c>
      <c r="N34" s="1">
        <v>705.5</v>
      </c>
      <c r="O34" s="1">
        <v>30.38</v>
      </c>
      <c r="P34" s="1">
        <v>200.72</v>
      </c>
      <c r="Q34" s="1">
        <v>373.94</v>
      </c>
      <c r="R34" s="38">
        <v>197.08</v>
      </c>
      <c r="S34" s="65">
        <v>234.22</v>
      </c>
    </row>
    <row r="35" spans="1:19" ht="12.75">
      <c r="A35" s="20" t="s">
        <v>153</v>
      </c>
      <c r="B35" s="97"/>
      <c r="C35" s="50">
        <f>E35-'[1]US'!E35</f>
        <v>-38.16</v>
      </c>
      <c r="D35" s="1">
        <f>F35-'[1]US'!F35</f>
        <v>0</v>
      </c>
      <c r="E35" s="114">
        <v>0</v>
      </c>
      <c r="F35" s="148">
        <v>0</v>
      </c>
      <c r="G35" s="1">
        <v>9</v>
      </c>
      <c r="H35" s="1">
        <v>13</v>
      </c>
      <c r="I35" s="1">
        <v>0</v>
      </c>
      <c r="J35" s="1">
        <v>1.84</v>
      </c>
      <c r="K35" s="1">
        <v>0</v>
      </c>
      <c r="L35" s="1">
        <v>0.58</v>
      </c>
      <c r="M35" s="1">
        <v>6.94</v>
      </c>
      <c r="N35" s="1">
        <v>110.4</v>
      </c>
      <c r="O35" s="1">
        <v>44.88</v>
      </c>
      <c r="P35" s="1"/>
      <c r="Q35" s="1"/>
      <c r="R35" s="38"/>
      <c r="S35" s="65"/>
    </row>
    <row r="36" spans="1:19" ht="12.75">
      <c r="A36" s="20" t="s">
        <v>45</v>
      </c>
      <c r="B36" s="97">
        <f t="shared" si="3"/>
        <v>8.25</v>
      </c>
      <c r="C36" s="50">
        <f>E36-'[1]US'!E36</f>
        <v>-130.86</v>
      </c>
      <c r="D36" s="1">
        <f>F36-'[1]US'!F36</f>
        <v>-28.380000000000003</v>
      </c>
      <c r="E36" s="114">
        <v>37</v>
      </c>
      <c r="F36" s="148">
        <v>4</v>
      </c>
      <c r="G36" s="1">
        <v>38</v>
      </c>
      <c r="H36" s="1">
        <v>47</v>
      </c>
      <c r="I36" s="1">
        <v>141</v>
      </c>
      <c r="J36" s="1">
        <v>0</v>
      </c>
      <c r="K36" s="1">
        <v>45.26</v>
      </c>
      <c r="L36" s="1">
        <v>79.04</v>
      </c>
      <c r="M36" s="1">
        <v>24.26</v>
      </c>
      <c r="N36" s="1">
        <v>79.02</v>
      </c>
      <c r="O36" s="1">
        <v>5.6</v>
      </c>
      <c r="P36" s="1">
        <v>86.2</v>
      </c>
      <c r="Q36" s="1">
        <v>0.84</v>
      </c>
      <c r="R36" s="38">
        <v>19.8</v>
      </c>
      <c r="S36" s="65">
        <v>40.82</v>
      </c>
    </row>
    <row r="37" spans="1:19" ht="12.75">
      <c r="A37" s="40" t="s">
        <v>165</v>
      </c>
      <c r="B37" s="97">
        <f t="shared" si="3"/>
        <v>-1</v>
      </c>
      <c r="C37" s="50">
        <f>E37-'[1]US'!E37</f>
        <v>-43.58</v>
      </c>
      <c r="D37" s="1">
        <f>F37-'[1]US'!F37</f>
        <v>-126.68</v>
      </c>
      <c r="E37" s="114">
        <v>0</v>
      </c>
      <c r="F37" s="148">
        <v>8</v>
      </c>
      <c r="G37" s="1">
        <v>47</v>
      </c>
      <c r="H37" s="1">
        <v>3</v>
      </c>
      <c r="I37" s="1">
        <v>29</v>
      </c>
      <c r="J37" s="1"/>
      <c r="K37" s="1"/>
      <c r="L37" s="1"/>
      <c r="M37" s="1"/>
      <c r="N37" s="1"/>
      <c r="O37" s="1"/>
      <c r="P37" s="1"/>
      <c r="Q37" s="1"/>
      <c r="R37" s="38"/>
      <c r="S37" s="65"/>
    </row>
    <row r="38" spans="1:19" ht="12.75">
      <c r="A38" s="20" t="s">
        <v>46</v>
      </c>
      <c r="B38" s="97"/>
      <c r="C38" s="50">
        <f>E38-'[1]US'!E38</f>
        <v>0</v>
      </c>
      <c r="D38" s="1">
        <f>F38-'[1]US'!F38</f>
        <v>0</v>
      </c>
      <c r="E38" s="114">
        <v>0</v>
      </c>
      <c r="F38" s="148">
        <v>0</v>
      </c>
      <c r="G38" s="1"/>
      <c r="H38" s="1"/>
      <c r="I38" s="1"/>
      <c r="J38" s="1">
        <v>0</v>
      </c>
      <c r="K38" s="1">
        <v>0</v>
      </c>
      <c r="L38" s="1">
        <v>0</v>
      </c>
      <c r="M38" s="1">
        <v>23.38</v>
      </c>
      <c r="N38" s="1">
        <v>57.74</v>
      </c>
      <c r="O38" s="1">
        <v>0</v>
      </c>
      <c r="P38" s="1">
        <v>19.2</v>
      </c>
      <c r="Q38" s="1">
        <v>42.48</v>
      </c>
      <c r="R38" s="38">
        <v>5.92</v>
      </c>
      <c r="S38" s="65">
        <v>15.86</v>
      </c>
    </row>
    <row r="39" spans="1:19" ht="12.75">
      <c r="A39" s="20" t="s">
        <v>48</v>
      </c>
      <c r="B39" s="97"/>
      <c r="C39" s="50">
        <f>E39-'[1]US'!E39</f>
        <v>-26.36</v>
      </c>
      <c r="D39" s="1">
        <f>F39-'[1]US'!F39</f>
        <v>-32.68</v>
      </c>
      <c r="E39" s="114">
        <v>4</v>
      </c>
      <c r="F39" s="148">
        <v>0</v>
      </c>
      <c r="G39" s="1">
        <v>101</v>
      </c>
      <c r="H39" s="1">
        <v>51</v>
      </c>
      <c r="I39" s="1">
        <v>50</v>
      </c>
      <c r="J39" s="1">
        <v>34.4</v>
      </c>
      <c r="K39" s="1">
        <v>165.14</v>
      </c>
      <c r="L39" s="1">
        <v>44.16</v>
      </c>
      <c r="M39" s="1">
        <v>241.76</v>
      </c>
      <c r="N39" s="1">
        <v>12.56</v>
      </c>
      <c r="O39" s="1">
        <v>30.86</v>
      </c>
      <c r="P39" s="1">
        <v>23.32</v>
      </c>
      <c r="Q39" s="1">
        <v>303.98</v>
      </c>
      <c r="R39" s="38">
        <v>132.16</v>
      </c>
      <c r="S39" s="65">
        <v>374.68</v>
      </c>
    </row>
    <row r="40" spans="1:19" ht="13.5" thickBot="1">
      <c r="A40" s="20" t="s">
        <v>47</v>
      </c>
      <c r="B40" s="97">
        <f t="shared" si="3"/>
        <v>20.869193806727175</v>
      </c>
      <c r="C40" s="50">
        <f>E40-'[1]US'!E40</f>
        <v>-5795.9</v>
      </c>
      <c r="D40" s="1">
        <f>F40-'[1]US'!F40</f>
        <v>-2799.86</v>
      </c>
      <c r="E40" s="114">
        <v>1638.44</v>
      </c>
      <c r="F40" s="148">
        <v>74.92</v>
      </c>
      <c r="G40" s="1">
        <v>1090.82</v>
      </c>
      <c r="H40" s="1">
        <v>586</v>
      </c>
      <c r="I40" s="1">
        <v>469</v>
      </c>
      <c r="J40" s="1">
        <v>12</v>
      </c>
      <c r="K40" s="1">
        <v>394.1</v>
      </c>
      <c r="L40" s="1">
        <v>140.56</v>
      </c>
      <c r="M40" s="1">
        <v>251.26</v>
      </c>
      <c r="N40" s="1">
        <v>186.52</v>
      </c>
      <c r="O40" s="1">
        <v>0</v>
      </c>
      <c r="P40" s="1">
        <v>0</v>
      </c>
      <c r="Q40" s="1">
        <v>0</v>
      </c>
      <c r="R40" s="38">
        <v>3</v>
      </c>
      <c r="S40" s="65">
        <v>0</v>
      </c>
    </row>
    <row r="41" spans="1:21" ht="13.5" thickBot="1">
      <c r="A41" s="39" t="s">
        <v>23</v>
      </c>
      <c r="B41" s="111">
        <f t="shared" si="3"/>
        <v>0.03475177845687977</v>
      </c>
      <c r="C41" s="70">
        <f>E41-'[1]US'!E41</f>
        <v>-32389.400000000023</v>
      </c>
      <c r="D41" s="46">
        <f>F41-'[1]US'!F41</f>
        <v>-31804.740000000005</v>
      </c>
      <c r="E41" s="45">
        <f>SUM(E31:E40)</f>
        <v>92289.18</v>
      </c>
      <c r="F41" s="146">
        <f aca="true" t="shared" si="4" ref="F41:K41">SUM(F31:F40)</f>
        <v>89189.68</v>
      </c>
      <c r="G41" s="46">
        <f t="shared" si="4"/>
        <v>114599.82</v>
      </c>
      <c r="H41" s="46">
        <f t="shared" si="4"/>
        <v>100418</v>
      </c>
      <c r="I41" s="46">
        <f t="shared" si="4"/>
        <v>95194</v>
      </c>
      <c r="J41" s="46">
        <f t="shared" si="4"/>
        <v>84476.54000000001</v>
      </c>
      <c r="K41" s="46">
        <f t="shared" si="4"/>
        <v>106846.43999999999</v>
      </c>
      <c r="L41" s="46">
        <f aca="true" t="shared" si="5" ref="L41:S41">SUM(L31:L40)</f>
        <v>104726</v>
      </c>
      <c r="M41" s="46">
        <f t="shared" si="5"/>
        <v>85940.48</v>
      </c>
      <c r="N41" s="46">
        <f t="shared" si="5"/>
        <v>119930.02</v>
      </c>
      <c r="O41" s="46">
        <f t="shared" si="5"/>
        <v>86823.72000000002</v>
      </c>
      <c r="P41" s="46">
        <f t="shared" si="5"/>
        <v>93687.28</v>
      </c>
      <c r="Q41" s="46">
        <f t="shared" si="5"/>
        <v>79408.86</v>
      </c>
      <c r="R41" s="46">
        <f t="shared" si="5"/>
        <v>78475.84000000001</v>
      </c>
      <c r="S41" s="86">
        <f t="shared" si="5"/>
        <v>55088.5</v>
      </c>
      <c r="U41" s="3"/>
    </row>
    <row r="42" spans="21:31" ht="18">
      <c r="U42" s="7"/>
      <c r="V42" s="38"/>
      <c r="W42" s="2"/>
      <c r="X42" s="110"/>
      <c r="Y42" s="2"/>
      <c r="Z42" s="2"/>
      <c r="AA42" s="2"/>
      <c r="AB42" s="110"/>
      <c r="AC42" s="110"/>
      <c r="AD42" s="38"/>
      <c r="AE42" s="38"/>
    </row>
    <row r="48" spans="18:20" ht="18">
      <c r="R48" s="5"/>
      <c r="S48" s="38"/>
      <c r="T48" s="1"/>
    </row>
    <row r="49" spans="18:20" ht="18">
      <c r="R49" s="5"/>
      <c r="S49" s="38"/>
      <c r="T49" s="1"/>
    </row>
    <row r="50" spans="18:20" ht="18">
      <c r="R50" s="5"/>
      <c r="S50" s="38"/>
      <c r="T50" s="1"/>
    </row>
    <row r="51" spans="18:20" ht="18">
      <c r="R51" s="5"/>
      <c r="S51" s="38"/>
      <c r="T51" s="1"/>
    </row>
    <row r="52" spans="18:20" ht="18">
      <c r="R52" s="5"/>
      <c r="S52" s="38"/>
      <c r="T52" s="1"/>
    </row>
    <row r="53" spans="18:20" ht="18">
      <c r="R53" s="5"/>
      <c r="S53" s="38"/>
      <c r="T53" s="1"/>
    </row>
    <row r="54" spans="18:20" ht="18">
      <c r="R54" s="5"/>
      <c r="S54" s="38"/>
      <c r="T54" s="1"/>
    </row>
    <row r="55" spans="18:20" ht="18">
      <c r="R55" s="5"/>
      <c r="S55" s="38"/>
      <c r="T55" s="1"/>
    </row>
    <row r="56" spans="18:20" ht="18">
      <c r="R56" s="5"/>
      <c r="S56" s="38"/>
      <c r="T56" s="1"/>
    </row>
    <row r="57" spans="18:20" ht="18">
      <c r="R57" s="5"/>
      <c r="S57" s="38"/>
      <c r="T57" s="1"/>
    </row>
    <row r="58" spans="18:20" ht="18">
      <c r="R58" s="6"/>
      <c r="S58" s="38"/>
      <c r="T58" s="1"/>
    </row>
    <row r="59" spans="18:20" ht="18">
      <c r="R59" s="7"/>
      <c r="S59" s="2"/>
      <c r="T59" s="2"/>
    </row>
  </sheetData>
  <sheetProtection/>
  <printOptions/>
  <pageMargins left="0.75" right="0.75" top="1" bottom="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="80" zoomScaleNormal="80" zoomScalePageLayoutView="0" workbookViewId="0" topLeftCell="A1">
      <selection activeCell="D24" sqref="D24"/>
    </sheetView>
  </sheetViews>
  <sheetFormatPr defaultColWidth="8.8515625" defaultRowHeight="12.75"/>
  <cols>
    <col min="1" max="1" width="21.7109375" style="0" customWidth="1"/>
    <col min="2" max="2" width="10.7109375" style="0" customWidth="1"/>
    <col min="3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9" width="10.140625" style="0" bestFit="1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21" ht="12.75">
      <c r="A2" s="20" t="s">
        <v>8</v>
      </c>
      <c r="B2" s="27">
        <f>(E2-F2)/F2</f>
        <v>0.13720358529545074</v>
      </c>
      <c r="C2" s="50">
        <f>E2-'[1]EU - country'!E2</f>
        <v>-8756.799999999988</v>
      </c>
      <c r="D2" s="1">
        <f>F2-'[1]EU - country'!F2</f>
        <v>-15320.519999999997</v>
      </c>
      <c r="E2" s="114">
        <f>Austria!E$21</f>
        <v>69953.35</v>
      </c>
      <c r="F2" s="148">
        <f>Austria!F$21</f>
        <v>61513.48</v>
      </c>
      <c r="G2" s="148">
        <f>Austria!G$21</f>
        <v>86742.30000000002</v>
      </c>
      <c r="H2" s="1">
        <f>Austria!H$21</f>
        <v>37479</v>
      </c>
      <c r="I2" s="1">
        <f>Austria!I$21</f>
        <v>19428.55</v>
      </c>
      <c r="J2" s="1">
        <f>Austria!J$21</f>
        <v>93192</v>
      </c>
      <c r="K2" s="1">
        <f>Austria!K$21</f>
        <v>98189.65000000001</v>
      </c>
      <c r="L2" s="1">
        <f>Austria!L$21</f>
        <v>92004.85</v>
      </c>
      <c r="M2" s="1">
        <f>Austria!M$21</f>
        <v>73697.84999999999</v>
      </c>
      <c r="N2" s="1">
        <f>Austria!N$21</f>
        <v>107909.04999999999</v>
      </c>
      <c r="O2" s="1">
        <f>Austria!O$21</f>
        <v>101889</v>
      </c>
      <c r="P2" s="1">
        <f>Austria!P$21</f>
        <v>103398</v>
      </c>
      <c r="Q2" s="1">
        <f>Austria!Q$21</f>
        <v>93606</v>
      </c>
      <c r="R2" s="1">
        <f>Austria!R$21</f>
        <v>86270</v>
      </c>
      <c r="S2" s="29">
        <f>Austria!S$21</f>
        <v>76243</v>
      </c>
      <c r="U2" s="3"/>
    </row>
    <row r="3" spans="1:19" ht="12.75">
      <c r="A3" s="20" t="s">
        <v>0</v>
      </c>
      <c r="B3" s="27">
        <f aca="true" t="shared" si="0" ref="B3:B15">(E3-F3)/F3</f>
        <v>-0.32256496913068927</v>
      </c>
      <c r="C3" s="50">
        <f>E3-'[1]EU - country'!E3</f>
        <v>-8565</v>
      </c>
      <c r="D3" s="1">
        <f>F3-'[1]EU - country'!F3</f>
        <v>-14722</v>
      </c>
      <c r="E3" s="114">
        <f>Belgium!E$10</f>
        <v>61337</v>
      </c>
      <c r="F3" s="148">
        <f>Belgium!F$10</f>
        <v>90543</v>
      </c>
      <c r="G3" s="148">
        <f>Belgium!G$10</f>
        <v>99388</v>
      </c>
      <c r="H3" s="1">
        <f>Belgium!H$10</f>
        <v>12645</v>
      </c>
      <c r="I3" s="1">
        <f>Belgium!I$10</f>
        <v>59809</v>
      </c>
      <c r="J3" s="1">
        <f>Belgium!J$10</f>
        <v>113365</v>
      </c>
      <c r="K3" s="1">
        <f>Belgium!K$10</f>
        <v>129231</v>
      </c>
      <c r="L3" s="1">
        <f>Belgium!L$10</f>
        <v>73244</v>
      </c>
      <c r="M3" s="1">
        <f>Belgium!M$10</f>
        <v>62669</v>
      </c>
      <c r="N3" s="1">
        <f>Belgium!N$10</f>
        <v>77410</v>
      </c>
      <c r="O3" s="1">
        <f>Belgium!O$10</f>
        <v>78005.23052534298</v>
      </c>
      <c r="P3" s="1">
        <f>Belgium!P$10</f>
        <v>114013</v>
      </c>
      <c r="Q3" s="1">
        <f>Belgium!Q$10</f>
        <v>150900</v>
      </c>
      <c r="R3" s="1">
        <f>Belgium!R$10</f>
        <v>141800</v>
      </c>
      <c r="S3" s="29">
        <f>Belgium!S$10</f>
        <v>135400</v>
      </c>
    </row>
    <row r="4" spans="1:21" ht="12.75">
      <c r="A4" s="20" t="s">
        <v>31</v>
      </c>
      <c r="B4" s="27">
        <f t="shared" si="0"/>
        <v>0.6748469640986048</v>
      </c>
      <c r="C4" s="50">
        <f>E4-'[1]EU - country'!E4</f>
        <v>-6669</v>
      </c>
      <c r="D4" s="1">
        <f>F4-'[1]EU - country'!F4</f>
        <v>-5401</v>
      </c>
      <c r="E4" s="114">
        <f>'Czech Republic'!E$12</f>
        <v>30370</v>
      </c>
      <c r="F4" s="148">
        <f>'Czech Republic'!F$12</f>
        <v>18133</v>
      </c>
      <c r="G4" s="148">
        <f>'Czech Republic'!G$12</f>
        <v>35399</v>
      </c>
      <c r="H4" s="1">
        <f>'Czech Republic'!H$12</f>
        <v>19897</v>
      </c>
      <c r="I4" s="1">
        <f>'Czech Republic'!I$12</f>
        <v>18961</v>
      </c>
      <c r="J4" s="1">
        <f>'Czech Republic'!J$12</f>
        <v>27711</v>
      </c>
      <c r="K4" s="1">
        <f>'Czech Republic'!K$12</f>
        <v>19360</v>
      </c>
      <c r="L4" s="1">
        <f>'Czech Republic'!L$12</f>
        <v>19892</v>
      </c>
      <c r="M4" s="1">
        <f>'Czech Republic'!M$12</f>
        <v>17683</v>
      </c>
      <c r="N4" s="1">
        <f>'Czech Republic'!N$12</f>
        <v>10899</v>
      </c>
      <c r="O4" s="1">
        <f>'Czech Republic'!O$12</f>
        <v>13638</v>
      </c>
      <c r="P4" s="1">
        <f>'Czech Republic'!P$12</f>
        <v>22699</v>
      </c>
      <c r="Q4" s="1">
        <f>'Czech Republic'!Q$12</f>
        <v>23435</v>
      </c>
      <c r="R4" s="1">
        <f>'Czech Republic'!R$12</f>
        <v>12192</v>
      </c>
      <c r="S4" s="29">
        <f>'Czech Republic'!S$12</f>
        <v>19499</v>
      </c>
      <c r="U4" s="3"/>
    </row>
    <row r="5" spans="1:21" ht="12.75">
      <c r="A5" s="20" t="s">
        <v>40</v>
      </c>
      <c r="B5" s="27">
        <f t="shared" si="0"/>
        <v>0.1384967569629912</v>
      </c>
      <c r="C5" s="50">
        <f>E5-'[1]EU - country'!E5</f>
        <v>-1825</v>
      </c>
      <c r="D5" s="1">
        <f>F5-'[1]EU - country'!F5</f>
        <v>-1869</v>
      </c>
      <c r="E5" s="114">
        <f>Denmark!E$20</f>
        <v>2984</v>
      </c>
      <c r="F5" s="148">
        <f>Denmark!F$20</f>
        <v>2621</v>
      </c>
      <c r="G5" s="148">
        <f>Denmark!G$20</f>
        <v>7000</v>
      </c>
      <c r="H5" s="1">
        <f>Denmark!H$20</f>
        <v>2364</v>
      </c>
      <c r="I5" s="1">
        <f>Denmark!I$20</f>
        <v>5558</v>
      </c>
      <c r="J5" s="1">
        <f>Denmark!J$20</f>
        <v>5456</v>
      </c>
      <c r="K5" s="1">
        <f>Denmark!K$20</f>
        <v>3917</v>
      </c>
      <c r="L5" s="1">
        <f>Denmark!L$20</f>
        <v>3227</v>
      </c>
      <c r="M5" s="1">
        <f>Denmark!M$20</f>
        <v>2276</v>
      </c>
      <c r="N5" s="1">
        <f>Denmark!N$20</f>
        <v>2637</v>
      </c>
      <c r="O5" s="1">
        <f>Denmark!O$20</f>
        <v>1936</v>
      </c>
      <c r="P5" s="1">
        <f>Denmark!P$20</f>
        <v>3212</v>
      </c>
      <c r="Q5" s="1">
        <f>Denmark!Q$20</f>
        <v>3513</v>
      </c>
      <c r="R5" s="1">
        <f>Denmark!R$20</f>
        <v>1827</v>
      </c>
      <c r="S5" s="29">
        <f>Denmark!S$20</f>
        <v>1280</v>
      </c>
      <c r="U5" s="3"/>
    </row>
    <row r="6" spans="1:21" ht="15">
      <c r="A6" s="40" t="s">
        <v>133</v>
      </c>
      <c r="B6" s="27">
        <f t="shared" si="0"/>
        <v>-0.15172134485520833</v>
      </c>
      <c r="C6" s="50">
        <f>E6-'[1]EU - country'!E6</f>
        <v>-100332</v>
      </c>
      <c r="D6" s="1">
        <f>F6-'[1]EU - country'!F6</f>
        <v>-107483</v>
      </c>
      <c r="E6" s="114">
        <f>France!E$26</f>
        <v>379111</v>
      </c>
      <c r="F6" s="148">
        <f>France!F$26</f>
        <v>446918</v>
      </c>
      <c r="G6" s="148">
        <f>France!G$26</f>
        <v>391058</v>
      </c>
      <c r="H6" s="1">
        <f>France!H$26</f>
        <v>354430</v>
      </c>
      <c r="I6" s="38">
        <f>France!I$26</f>
        <v>380280</v>
      </c>
      <c r="J6" s="38">
        <f>France!J$26</f>
        <v>368757</v>
      </c>
      <c r="K6" s="38">
        <f>France!K$26</f>
        <v>338304</v>
      </c>
      <c r="L6" s="38">
        <f>France!L$26</f>
        <v>439361</v>
      </c>
      <c r="M6" s="38">
        <f>France!M$26</f>
        <v>207885</v>
      </c>
      <c r="N6" s="38">
        <f>France!N$26</f>
        <v>357701</v>
      </c>
      <c r="O6" s="38">
        <f>France!O$26</f>
        <v>363259</v>
      </c>
      <c r="P6" s="38">
        <f>France!P$26</f>
        <v>389073</v>
      </c>
      <c r="Q6" s="90"/>
      <c r="R6" s="90"/>
      <c r="S6" s="73"/>
      <c r="U6" s="3"/>
    </row>
    <row r="7" spans="1:21" ht="12.75">
      <c r="A7" s="20" t="s">
        <v>28</v>
      </c>
      <c r="B7" s="27">
        <f t="shared" si="0"/>
        <v>0.14574263410891464</v>
      </c>
      <c r="C7" s="50">
        <f>E7-'[1]EU - country'!E7</f>
        <v>-49200</v>
      </c>
      <c r="D7" s="1">
        <f>F7-'[1]EU - country'!F7</f>
        <v>-36559</v>
      </c>
      <c r="E7" s="114">
        <f>Germany!E$21</f>
        <v>197117</v>
      </c>
      <c r="F7" s="148">
        <f>Germany!F$21</f>
        <v>172043</v>
      </c>
      <c r="G7" s="148">
        <f>Germany!G$21</f>
        <v>252029</v>
      </c>
      <c r="H7" s="1">
        <f>Germany!H$21</f>
        <v>112786</v>
      </c>
      <c r="I7" s="1">
        <f>Germany!I$21</f>
        <v>241990</v>
      </c>
      <c r="J7" s="1">
        <f>Germany!J$21</f>
        <v>227370</v>
      </c>
      <c r="K7" s="1">
        <f>Germany!K$21</f>
        <v>239910</v>
      </c>
      <c r="L7" s="1">
        <f>Germany!L$21</f>
        <v>181220</v>
      </c>
      <c r="M7" s="1">
        <f>Germany!M$21</f>
        <v>211093</v>
      </c>
      <c r="N7" s="1">
        <f>Germany!N$21</f>
        <v>227696</v>
      </c>
      <c r="O7" s="1">
        <f>Germany!O$21</f>
        <v>174213</v>
      </c>
      <c r="P7" s="1">
        <f>Germany!P$21</f>
        <v>228822</v>
      </c>
      <c r="Q7" s="1">
        <f>Germany!Q$21</f>
        <v>197057</v>
      </c>
      <c r="R7" s="1">
        <f>Germany!R$21</f>
        <v>162163</v>
      </c>
      <c r="S7" s="29">
        <f>Germany!S$21</f>
        <v>176675</v>
      </c>
      <c r="U7" s="3"/>
    </row>
    <row r="8" spans="1:19" ht="12.75">
      <c r="A8" s="20" t="s">
        <v>16</v>
      </c>
      <c r="B8" s="27">
        <f t="shared" si="0"/>
        <v>0.0642600670646845</v>
      </c>
      <c r="C8" s="50">
        <f>E8-'[1]EU - country'!E8</f>
        <v>-189343.06999999983</v>
      </c>
      <c r="D8" s="1">
        <f>F8-'[1]EU - country'!F8</f>
        <v>-205530</v>
      </c>
      <c r="E8" s="114">
        <f>Italy!E$20</f>
        <v>831226.49</v>
      </c>
      <c r="F8" s="148">
        <f>Italy!F$20</f>
        <v>781037</v>
      </c>
      <c r="G8" s="148">
        <f>Italy!G$20</f>
        <v>913478.0499999999</v>
      </c>
      <c r="H8" s="1">
        <f>Italy!H$20</f>
        <v>504452.04000000004</v>
      </c>
      <c r="I8" s="1">
        <f>Italy!I$20</f>
        <v>933922.49</v>
      </c>
      <c r="J8" s="1">
        <f>Italy!J$20</f>
        <v>897466.4190000001</v>
      </c>
      <c r="K8" s="1">
        <f>Italy!K$20</f>
        <v>962008</v>
      </c>
      <c r="L8" s="1">
        <f>Italy!L$20</f>
        <v>825217</v>
      </c>
      <c r="M8" s="1">
        <f>Italy!M$20</f>
        <v>679633</v>
      </c>
      <c r="N8" s="1">
        <f>Italy!N$20</f>
        <v>831416</v>
      </c>
      <c r="O8" s="1">
        <f>Italy!O$20</f>
        <v>822832</v>
      </c>
      <c r="P8" s="1">
        <f>Italy!P$20</f>
        <v>840631.6600000001</v>
      </c>
      <c r="Q8" s="1">
        <f>Italy!Q$20</f>
        <v>835001.9</v>
      </c>
      <c r="R8" s="1">
        <f>Italy!R$20</f>
        <v>683634.2999999999</v>
      </c>
      <c r="S8" s="29">
        <f>Italy!S$20</f>
        <v>731399</v>
      </c>
    </row>
    <row r="9" spans="1:21" ht="12.75">
      <c r="A9" s="40" t="s">
        <v>32</v>
      </c>
      <c r="B9" s="27">
        <f t="shared" si="0"/>
        <v>0.7733050847457628</v>
      </c>
      <c r="C9" s="50">
        <f>E9-'[1]EU - country'!E9</f>
        <v>-228000</v>
      </c>
      <c r="D9" s="1">
        <f>F9-'[1]EU - country'!F9</f>
        <v>-162000</v>
      </c>
      <c r="E9" s="114">
        <f>Poland!E$18</f>
        <v>837000</v>
      </c>
      <c r="F9" s="148">
        <f>Poland!F$18</f>
        <v>472000</v>
      </c>
      <c r="G9" s="148">
        <f>Poland!G$18</f>
        <v>940000</v>
      </c>
      <c r="H9" s="1">
        <f>Poland!H$18</f>
        <v>464000</v>
      </c>
      <c r="I9" s="38">
        <f>Poland!I$18</f>
        <v>799000</v>
      </c>
      <c r="J9" s="38">
        <f>Poland!J$18</f>
        <v>804000</v>
      </c>
      <c r="K9" s="38">
        <f>Poland!K$18</f>
        <v>724000</v>
      </c>
      <c r="L9" s="38">
        <f>Poland!L$18</f>
        <v>680000</v>
      </c>
      <c r="M9" s="38">
        <f>Poland!M$18</f>
        <v>606000</v>
      </c>
      <c r="N9" s="38">
        <f>Poland!N$18</f>
        <v>570000</v>
      </c>
      <c r="O9" s="38">
        <f>Poland!O$18</f>
        <v>250000</v>
      </c>
      <c r="P9" s="38">
        <f>Poland!P$18</f>
        <v>350000</v>
      </c>
      <c r="Q9" s="38">
        <f>Poland!Q$18</f>
        <v>290000</v>
      </c>
      <c r="R9" s="38">
        <f>Poland!R$18</f>
        <v>140000</v>
      </c>
      <c r="S9" s="65">
        <f>Poland!S$18</f>
        <v>200000</v>
      </c>
      <c r="U9" s="3"/>
    </row>
    <row r="10" spans="1:21" ht="12.75">
      <c r="A10" s="40" t="s">
        <v>148</v>
      </c>
      <c r="B10" s="27"/>
      <c r="C10" s="50">
        <f>E10-'[1]EU - country'!E10</f>
        <v>0</v>
      </c>
      <c r="D10" s="1">
        <f>F10-'[1]EU - country'!F10</f>
        <v>0</v>
      </c>
      <c r="E10" s="114"/>
      <c r="F10" s="148"/>
      <c r="G10" s="148"/>
      <c r="H10" s="1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65"/>
      <c r="U10" s="3"/>
    </row>
    <row r="11" spans="1:21" ht="12.75">
      <c r="A11" s="20" t="s">
        <v>37</v>
      </c>
      <c r="B11" s="27">
        <f t="shared" si="0"/>
        <v>-0.39560820623088006</v>
      </c>
      <c r="C11" s="50">
        <f>E11-'[1]EU - country'!E11</f>
        <v>-25278.342568975582</v>
      </c>
      <c r="D11" s="1">
        <f>F11-'[1]EU - country'!F11</f>
        <v>-37135.25572416096</v>
      </c>
      <c r="E11" s="114">
        <f>Spain!E$8</f>
        <v>113465.5109911465</v>
      </c>
      <c r="F11" s="148">
        <f>Spain!F$8</f>
        <v>187735.02910016474</v>
      </c>
      <c r="G11" s="148">
        <f>Spain!G$8</f>
        <v>145639</v>
      </c>
      <c r="H11" s="1">
        <f>Spain!H$8</f>
        <v>124926</v>
      </c>
      <c r="I11" s="1">
        <f>Spain!I$8</f>
        <v>164353.753023898</v>
      </c>
      <c r="J11" s="1">
        <f>Spain!J$8</f>
        <v>120596</v>
      </c>
      <c r="K11" s="1">
        <f>Spain!K$8</f>
        <v>132506.12320955948</v>
      </c>
      <c r="L11" s="1">
        <f>Spain!L$8</f>
        <v>115046.14188662339</v>
      </c>
      <c r="M11" s="1">
        <f>Spain!M$8</f>
        <v>72847.89408965872</v>
      </c>
      <c r="N11" s="1">
        <f>Spain!N$8</f>
        <v>130655.65589442675</v>
      </c>
      <c r="O11" s="1">
        <f>Spain!O$8</f>
        <v>118934.96182055197</v>
      </c>
      <c r="P11" s="1">
        <f>Spain!P$8</f>
        <v>103668.30665292266</v>
      </c>
      <c r="Q11" s="1">
        <f>Spain!Q$8</f>
        <v>138189</v>
      </c>
      <c r="R11" s="1">
        <f>Spain!R$8</f>
        <v>107493</v>
      </c>
      <c r="S11" s="29">
        <f>Spain!S$8</f>
        <v>91046</v>
      </c>
      <c r="U11" s="3"/>
    </row>
    <row r="12" spans="1:21" ht="12.75">
      <c r="A12" s="20" t="s">
        <v>60</v>
      </c>
      <c r="B12" s="27">
        <f t="shared" si="0"/>
        <v>0.07924706128753567</v>
      </c>
      <c r="C12" s="50">
        <f>E12-'[1]EU - country'!E12</f>
        <v>-8095</v>
      </c>
      <c r="D12" s="1">
        <f>F12-'[1]EU - country'!F12</f>
        <v>-8540</v>
      </c>
      <c r="E12" s="114">
        <f>Switzerland!E$19</f>
        <v>41224</v>
      </c>
      <c r="F12" s="148">
        <f>Switzerland!F$19</f>
        <v>38197</v>
      </c>
      <c r="G12" s="148">
        <f>Switzerland!G$19</f>
        <v>46069</v>
      </c>
      <c r="H12" s="1">
        <f>Switzerland!H$19</f>
        <v>21798</v>
      </c>
      <c r="I12" s="1">
        <f>Switzerland!I$19</f>
        <v>40375</v>
      </c>
      <c r="J12" s="1">
        <f>Switzerland!J$19</f>
        <v>39827</v>
      </c>
      <c r="K12" s="1">
        <f>Switzerland!K$19</f>
        <v>40404</v>
      </c>
      <c r="L12" s="1">
        <f>Switzerland!L$19</f>
        <v>40410</v>
      </c>
      <c r="M12" s="1">
        <f>Switzerland!M$19</f>
        <v>39292</v>
      </c>
      <c r="N12" s="1">
        <f>Switzerland!N$19</f>
        <v>44267</v>
      </c>
      <c r="O12" s="1">
        <f>Switzerland!O$19</f>
        <v>42232</v>
      </c>
      <c r="P12" s="1">
        <f>Switzerland!P$19</f>
        <v>44810</v>
      </c>
      <c r="Q12" s="1">
        <f>Switzerland!Q$19</f>
        <v>38867</v>
      </c>
      <c r="R12" s="1">
        <f>Switzerland!R$19</f>
        <v>40687</v>
      </c>
      <c r="S12" s="29">
        <f>Switzerland!S$19</f>
        <v>39999</v>
      </c>
      <c r="U12" s="3"/>
    </row>
    <row r="13" spans="1:19" ht="12.75">
      <c r="A13" s="20" t="s">
        <v>1</v>
      </c>
      <c r="B13" s="27">
        <f t="shared" si="0"/>
        <v>-0.3174074526146925</v>
      </c>
      <c r="C13" s="50">
        <f>E13-'[1]EU - country'!E13</f>
        <v>-21386</v>
      </c>
      <c r="D13" s="1">
        <f>F13-'[1]EU - country'!F13</f>
        <v>-24514</v>
      </c>
      <c r="E13" s="114">
        <f>Netherlands!E$8</f>
        <v>78292</v>
      </c>
      <c r="F13" s="148">
        <f>Netherlands!F$8</f>
        <v>114698</v>
      </c>
      <c r="G13" s="148">
        <f>Netherlands!G$8</f>
        <v>102740.5</v>
      </c>
      <c r="H13" s="1">
        <f>Netherlands!H$8</f>
        <v>77817</v>
      </c>
      <c r="I13" s="1">
        <f>Netherlands!I$8</f>
        <v>132142</v>
      </c>
      <c r="J13" s="1">
        <f>Netherlands!J$8</f>
        <v>138013</v>
      </c>
      <c r="K13" s="1">
        <f>Netherlands!K$8</f>
        <v>146754</v>
      </c>
      <c r="L13" s="1">
        <f>Netherlands!L$8</f>
        <v>133102</v>
      </c>
      <c r="M13" s="1">
        <f>Netherlands!M$8</f>
        <v>117000</v>
      </c>
      <c r="N13" s="1">
        <f>Netherlands!N$8</f>
        <v>171000</v>
      </c>
      <c r="O13" s="1">
        <f>Netherlands!O$8</f>
        <v>120000</v>
      </c>
      <c r="P13" s="1">
        <f>Netherlands!P$8</f>
        <v>163000</v>
      </c>
      <c r="Q13" s="1">
        <f>Netherlands!Q$8</f>
        <v>157000</v>
      </c>
      <c r="R13" s="1">
        <f>Netherlands!R$8</f>
        <v>147000</v>
      </c>
      <c r="S13" s="29">
        <f>Netherlands!S$8</f>
        <v>141000</v>
      </c>
    </row>
    <row r="14" spans="1:19" ht="13.5" thickBot="1">
      <c r="A14" s="20" t="s">
        <v>167</v>
      </c>
      <c r="B14" s="27">
        <f t="shared" si="0"/>
        <v>-0.04223489544590462</v>
      </c>
      <c r="C14" s="50">
        <f>E14-'[1]EU - country'!E14</f>
        <v>-17451</v>
      </c>
      <c r="D14" s="1">
        <f>F14-'[1]EU - country'!F14</f>
        <v>-20176</v>
      </c>
      <c r="E14" s="114">
        <f>UK!E$12</f>
        <v>57940</v>
      </c>
      <c r="F14" s="178">
        <f>UK!F$12</f>
        <v>60495</v>
      </c>
      <c r="G14" s="178">
        <f>UK!G$12</f>
        <v>64367</v>
      </c>
      <c r="H14" s="179">
        <f>UK!H$12</f>
        <v>48422</v>
      </c>
      <c r="I14" s="179">
        <f>UK!I$12</f>
        <v>31540</v>
      </c>
      <c r="J14" s="179">
        <f>UK!J$12</f>
        <v>65200</v>
      </c>
      <c r="K14" s="179">
        <f>UK!K$12</f>
        <v>60100</v>
      </c>
      <c r="L14" s="179">
        <f>UK!L$12</f>
        <v>55600</v>
      </c>
      <c r="M14" s="179">
        <f>UK!M$12</f>
        <v>26000</v>
      </c>
      <c r="N14" s="179">
        <f>UK!N$12</f>
        <v>53400</v>
      </c>
      <c r="O14" s="179">
        <f>UK!O$12</f>
        <v>61000</v>
      </c>
      <c r="P14" s="179">
        <f>UK!P$12</f>
        <v>58900</v>
      </c>
      <c r="Q14" s="179">
        <f>UK!Q$12</f>
        <v>44900</v>
      </c>
      <c r="R14" s="179">
        <f>UK!R$12</f>
        <v>45900</v>
      </c>
      <c r="S14" s="29">
        <f>UK!S$12</f>
        <v>40000</v>
      </c>
    </row>
    <row r="15" spans="1:19" ht="13.5" thickBot="1">
      <c r="A15" s="23" t="s">
        <v>23</v>
      </c>
      <c r="B15" s="111">
        <f t="shared" si="0"/>
        <v>0.10388133648999212</v>
      </c>
      <c r="C15" s="70">
        <f>E15-'[1]EU - country'!E15</f>
        <v>-664901.212568976</v>
      </c>
      <c r="D15" s="141">
        <f>F15-'[1]EU - country'!F15</f>
        <v>-639249.775724161</v>
      </c>
      <c r="E15" s="45">
        <f>SUM(E2:E14)</f>
        <v>2700020.350991146</v>
      </c>
      <c r="F15" s="146">
        <f>SUM(F2:F14)</f>
        <v>2445933.5091001648</v>
      </c>
      <c r="G15" s="146">
        <f>SUM(G2:G14)</f>
        <v>3083909.85</v>
      </c>
      <c r="H15" s="46">
        <f aca="true" t="shared" si="1" ref="H15:M15">SUM(H2:H14)</f>
        <v>1781016.04</v>
      </c>
      <c r="I15" s="46">
        <f t="shared" si="1"/>
        <v>2827359.7930238983</v>
      </c>
      <c r="J15" s="46">
        <f t="shared" si="1"/>
        <v>2900953.419</v>
      </c>
      <c r="K15" s="46">
        <f t="shared" si="1"/>
        <v>2894683.7732095593</v>
      </c>
      <c r="L15" s="46">
        <f t="shared" si="1"/>
        <v>2658323.9918866237</v>
      </c>
      <c r="M15" s="46">
        <f t="shared" si="1"/>
        <v>2116076.744089659</v>
      </c>
      <c r="N15" s="46">
        <f aca="true" t="shared" si="2" ref="N15:S15">SUM(N2:N14)</f>
        <v>2584990.7058944264</v>
      </c>
      <c r="O15" s="46">
        <f t="shared" si="2"/>
        <v>2147939.192345895</v>
      </c>
      <c r="P15" s="46">
        <f t="shared" si="2"/>
        <v>2422226.966652923</v>
      </c>
      <c r="Q15" s="46">
        <f t="shared" si="2"/>
        <v>1972468.9</v>
      </c>
      <c r="R15" s="46">
        <f t="shared" si="2"/>
        <v>1568966.2999999998</v>
      </c>
      <c r="S15" s="86">
        <f t="shared" si="2"/>
        <v>1652541</v>
      </c>
    </row>
    <row r="16" spans="2:19" ht="12.75">
      <c r="B16" s="36"/>
      <c r="C16" s="36"/>
      <c r="D16" s="1"/>
      <c r="E16" s="1"/>
      <c r="F16" s="151"/>
      <c r="G16" s="151"/>
      <c r="H16" s="36"/>
      <c r="I16" s="36"/>
      <c r="R16" s="1"/>
      <c r="S16" s="1"/>
    </row>
    <row r="17" spans="2:19" ht="13.5" thickBot="1">
      <c r="B17" s="36"/>
      <c r="C17" s="36"/>
      <c r="D17" s="1"/>
      <c r="E17" s="1"/>
      <c r="F17" s="151"/>
      <c r="G17" s="151"/>
      <c r="H17" s="36"/>
      <c r="I17" s="36"/>
      <c r="R17" s="1"/>
      <c r="S17" s="1"/>
    </row>
    <row r="18" spans="1:19" ht="13.5" thickBot="1">
      <c r="A18" s="23" t="s">
        <v>25</v>
      </c>
      <c r="B18" s="24" t="s">
        <v>175</v>
      </c>
      <c r="C18" s="49" t="s">
        <v>176</v>
      </c>
      <c r="D18" s="25" t="s">
        <v>170</v>
      </c>
      <c r="E18" s="115">
        <v>44256</v>
      </c>
      <c r="F18" s="147">
        <v>43891</v>
      </c>
      <c r="G18" s="147">
        <v>43525</v>
      </c>
      <c r="H18" s="25">
        <v>43160</v>
      </c>
      <c r="I18" s="25">
        <v>42795</v>
      </c>
      <c r="J18" s="25">
        <v>42430</v>
      </c>
      <c r="K18" s="25">
        <f>K1</f>
        <v>42064</v>
      </c>
      <c r="L18" s="25">
        <v>41699</v>
      </c>
      <c r="M18" s="25">
        <v>41334</v>
      </c>
      <c r="N18" s="25">
        <v>40969</v>
      </c>
      <c r="O18" s="25">
        <v>40603</v>
      </c>
      <c r="P18" s="25">
        <v>40238</v>
      </c>
      <c r="Q18" s="25">
        <v>39873</v>
      </c>
      <c r="R18" s="25">
        <v>39508</v>
      </c>
      <c r="S18" s="26">
        <v>39142</v>
      </c>
    </row>
    <row r="19" spans="1:19" ht="12.75">
      <c r="A19" s="20" t="s">
        <v>0</v>
      </c>
      <c r="B19" s="27">
        <f aca="true" t="shared" si="3" ref="B19:B31">(E19-F19)/F19</f>
        <v>0.6524196621364156</v>
      </c>
      <c r="C19" s="50">
        <f>E19-'[1]EU - country'!E19</f>
        <v>-42003</v>
      </c>
      <c r="D19" s="1">
        <f>F19-'[1]EU - country'!F19</f>
        <v>-39093</v>
      </c>
      <c r="E19" s="114">
        <f>Belgium!E$19</f>
        <v>156114</v>
      </c>
      <c r="F19" s="148">
        <f>Belgium!F$19</f>
        <v>94476</v>
      </c>
      <c r="G19" s="148">
        <f>Belgium!G$19</f>
        <v>132875</v>
      </c>
      <c r="H19" s="1">
        <f>Belgium!H$19</f>
        <v>84957</v>
      </c>
      <c r="I19" s="1">
        <f>Belgium!I$19</f>
        <v>111713</v>
      </c>
      <c r="J19" s="1">
        <f>Belgium!J$19</f>
        <v>133080</v>
      </c>
      <c r="K19" s="1">
        <f>Belgium!K$19</f>
        <v>116965</v>
      </c>
      <c r="L19" s="1">
        <f>Belgium!L$19</f>
        <v>73112</v>
      </c>
      <c r="M19" s="1">
        <f>Belgium!M$19</f>
        <v>56000</v>
      </c>
      <c r="N19" s="1">
        <f>Belgium!N$19</f>
        <v>63450</v>
      </c>
      <c r="O19" s="1">
        <f>Belgium!O$19</f>
        <v>76000</v>
      </c>
      <c r="P19" s="1">
        <f>Belgium!P$19</f>
        <v>70800</v>
      </c>
      <c r="Q19" s="1">
        <f>Belgium!Q$19</f>
        <v>27600</v>
      </c>
      <c r="R19" s="1">
        <f>Belgium!R$19</f>
        <v>74900</v>
      </c>
      <c r="S19" s="29">
        <f>Belgium!S$19</f>
        <v>90000</v>
      </c>
    </row>
    <row r="20" spans="1:19" ht="12.75">
      <c r="A20" s="20" t="s">
        <v>31</v>
      </c>
      <c r="B20" s="27">
        <f t="shared" si="3"/>
        <v>0.1882261812548412</v>
      </c>
      <c r="C20" s="50">
        <f>E20-'[1]EU - country'!E20</f>
        <v>-438</v>
      </c>
      <c r="D20" s="1">
        <f>F20-'[1]EU - country'!F20</f>
        <v>-621</v>
      </c>
      <c r="E20" s="114">
        <f>'Czech Republic'!E$21</f>
        <v>1534</v>
      </c>
      <c r="F20" s="148">
        <f>'Czech Republic'!F$21</f>
        <v>1291</v>
      </c>
      <c r="G20" s="148">
        <f>'Czech Republic'!G$21</f>
        <v>1402</v>
      </c>
      <c r="H20" s="1">
        <f>'Czech Republic'!H$21</f>
        <v>948</v>
      </c>
      <c r="I20" s="1">
        <f>'Czech Republic'!I$21</f>
        <v>711</v>
      </c>
      <c r="J20" s="1">
        <f>'Czech Republic'!J$21</f>
        <v>919</v>
      </c>
      <c r="K20" s="1">
        <f>'Czech Republic'!K$21</f>
        <v>108</v>
      </c>
      <c r="L20" s="1">
        <f>'Czech Republic'!L$21</f>
        <v>1334</v>
      </c>
      <c r="M20" s="1">
        <f>'Czech Republic'!M$21</f>
        <v>4</v>
      </c>
      <c r="N20" s="1">
        <f>'Czech Republic'!N$21</f>
        <v>185</v>
      </c>
      <c r="O20" s="1">
        <f>'Czech Republic'!O$21</f>
        <v>42</v>
      </c>
      <c r="P20" s="1">
        <f>'Czech Republic'!P$21</f>
        <v>20</v>
      </c>
      <c r="Q20" s="1">
        <f>'Czech Republic'!Q$21</f>
        <v>0</v>
      </c>
      <c r="R20" s="1">
        <f>'Czech Republic'!R$21</f>
        <v>0</v>
      </c>
      <c r="S20" s="29">
        <f>'Czech Republic'!S$21</f>
        <v>0</v>
      </c>
    </row>
    <row r="21" spans="1:21" ht="12.75">
      <c r="A21" s="20" t="s">
        <v>40</v>
      </c>
      <c r="B21" s="27">
        <f t="shared" si="3"/>
        <v>-0.36666666666666664</v>
      </c>
      <c r="C21" s="50">
        <f>E21-'[1]EU - country'!E21</f>
        <v>-50</v>
      </c>
      <c r="D21" s="1">
        <f>F21-'[1]EU - country'!F21</f>
        <v>-6</v>
      </c>
      <c r="E21" s="114">
        <f>Denmark!E$27</f>
        <v>19</v>
      </c>
      <c r="F21" s="148">
        <f>Denmark!F$27</f>
        <v>30</v>
      </c>
      <c r="G21" s="148">
        <f>Denmark!G$27</f>
        <v>260</v>
      </c>
      <c r="H21" s="1">
        <f>Denmark!H$27</f>
        <v>0</v>
      </c>
      <c r="I21" s="1">
        <f>Denmark!I$27</f>
        <v>22</v>
      </c>
      <c r="J21" s="1">
        <f>Denmark!J$27</f>
        <v>72</v>
      </c>
      <c r="K21" s="1">
        <f>Denmark!K$27</f>
        <v>5</v>
      </c>
      <c r="L21" s="1">
        <f>Denmark!L$27</f>
        <v>78</v>
      </c>
      <c r="M21" s="1">
        <f>Denmark!M$27</f>
        <v>0</v>
      </c>
      <c r="N21" s="1">
        <f>Denmark!N$27</f>
        <v>33</v>
      </c>
      <c r="O21" s="1">
        <f>Denmark!O$27</f>
        <v>0</v>
      </c>
      <c r="P21" s="1">
        <f>Denmark!P$27</f>
        <v>0</v>
      </c>
      <c r="Q21" s="1">
        <f>Denmark!Q$27</f>
        <v>0</v>
      </c>
      <c r="R21" s="1">
        <f>Denmark!R$27</f>
        <v>0</v>
      </c>
      <c r="S21" s="29">
        <f>Denmark!S$27</f>
        <v>0</v>
      </c>
      <c r="U21" s="3"/>
    </row>
    <row r="22" spans="1:19" ht="12.75">
      <c r="A22" s="40" t="s">
        <v>133</v>
      </c>
      <c r="B22" s="27">
        <f t="shared" si="3"/>
        <v>0.7566225165562914</v>
      </c>
      <c r="C22" s="50">
        <f>E22-'[1]EU - country'!E22</f>
        <v>-3204</v>
      </c>
      <c r="D22" s="1">
        <f>F22-'[1]EU - country'!F22</f>
        <v>-2980</v>
      </c>
      <c r="E22" s="114">
        <f>France!E38</f>
        <v>4244</v>
      </c>
      <c r="F22" s="148">
        <f>France!F38</f>
        <v>2416</v>
      </c>
      <c r="G22" s="148">
        <f>France!G38</f>
        <v>4174</v>
      </c>
      <c r="H22" s="1">
        <f>France!H38</f>
        <v>3115</v>
      </c>
      <c r="I22" s="1">
        <f>France!I38</f>
        <v>3558</v>
      </c>
      <c r="J22" s="1">
        <f>France!J38</f>
        <v>3747</v>
      </c>
      <c r="K22" s="1">
        <f>France!K38</f>
        <v>4208</v>
      </c>
      <c r="L22" s="1">
        <f>France!L38</f>
        <v>4340</v>
      </c>
      <c r="M22" s="1">
        <f>France!M38</f>
        <v>1540</v>
      </c>
      <c r="N22" s="1">
        <f>France!N38</f>
        <v>5352</v>
      </c>
      <c r="O22" s="1"/>
      <c r="P22" s="1"/>
      <c r="Q22" s="1"/>
      <c r="R22" s="1"/>
      <c r="S22" s="29"/>
    </row>
    <row r="23" spans="1:21" ht="12.75">
      <c r="A23" s="20" t="s">
        <v>28</v>
      </c>
      <c r="B23" s="27">
        <f t="shared" si="3"/>
        <v>0.3631578947368421</v>
      </c>
      <c r="C23" s="50">
        <f>E23-'[1]EU - country'!E23</f>
        <v>-801</v>
      </c>
      <c r="D23" s="1">
        <f>F23-'[1]EU - country'!F23</f>
        <v>-1265</v>
      </c>
      <c r="E23" s="114">
        <f>Germany!E$26</f>
        <v>1554</v>
      </c>
      <c r="F23" s="148">
        <f>Germany!F$26</f>
        <v>1140</v>
      </c>
      <c r="G23" s="148">
        <f>Germany!G$26</f>
        <v>1197</v>
      </c>
      <c r="H23" s="1">
        <f>Germany!H$26</f>
        <v>1063</v>
      </c>
      <c r="I23" s="1">
        <f>Germany!I$26</f>
        <v>158</v>
      </c>
      <c r="J23" s="1">
        <f>Germany!J$26</f>
        <v>322</v>
      </c>
      <c r="K23" s="1">
        <f>Germany!K$26</f>
        <v>992</v>
      </c>
      <c r="L23" s="1">
        <f>Germany!L$26</f>
        <v>630</v>
      </c>
      <c r="M23" s="1">
        <f>Germany!M$26</f>
        <v>139</v>
      </c>
      <c r="N23" s="1">
        <f>Germany!N$26</f>
        <v>557</v>
      </c>
      <c r="O23" s="1">
        <f>Germany!O$26</f>
        <v>158</v>
      </c>
      <c r="P23" s="1">
        <f>Germany!P$26</f>
        <v>444</v>
      </c>
      <c r="Q23" s="1">
        <f>Germany!Q$26</f>
        <v>196</v>
      </c>
      <c r="R23" s="1">
        <f>Germany!R$26</f>
        <v>260</v>
      </c>
      <c r="S23" s="29">
        <f>Germany!S$26</f>
        <v>118</v>
      </c>
      <c r="U23" s="3"/>
    </row>
    <row r="24" spans="1:21" ht="12.75">
      <c r="A24" s="20" t="s">
        <v>16</v>
      </c>
      <c r="B24" s="27"/>
      <c r="C24" s="50">
        <f>E24-'[1]EU - country'!E24</f>
        <v>-43718.0162698732</v>
      </c>
      <c r="D24" s="1">
        <f>F24-'[1]EU - country'!F24</f>
        <v>-46230.255580022545</v>
      </c>
      <c r="E24" s="114">
        <f>Italy!E$29</f>
        <v>81971.82136925972</v>
      </c>
      <c r="F24" s="148">
        <f>Italy!F$29</f>
        <v>0</v>
      </c>
      <c r="G24" s="148">
        <f>Italy!G$29</f>
        <v>102127.62374008067</v>
      </c>
      <c r="H24" s="1">
        <f>Italy!H$29</f>
        <v>122662.68619727486</v>
      </c>
      <c r="I24" s="1">
        <f>Italy!I$29</f>
        <v>88543.51254367872</v>
      </c>
      <c r="J24" s="1">
        <f>Italy!J$29</f>
        <v>117188.93693775515</v>
      </c>
      <c r="K24" s="1">
        <f>Italy!K$29</f>
        <v>105539.50471702013</v>
      </c>
      <c r="L24" s="1">
        <f>Italy!L$29</f>
        <v>143660.0585110689</v>
      </c>
      <c r="M24" s="1">
        <f>Italy!M$29</f>
        <v>74691.42506886537</v>
      </c>
      <c r="N24" s="1">
        <f>Italy!N$29</f>
        <v>176989.5542451069</v>
      </c>
      <c r="O24" s="1">
        <f>Italy!O$29</f>
        <v>61928.89125558802</v>
      </c>
      <c r="P24" s="1">
        <f>Italy!P$29</f>
        <v>113605.9666106099</v>
      </c>
      <c r="Q24" s="1">
        <f>Italy!Q$29</f>
        <v>70400</v>
      </c>
      <c r="R24" s="1">
        <f>Italy!R$29</f>
        <v>66020</v>
      </c>
      <c r="S24" s="29">
        <f>Italy!S$29</f>
        <v>93916</v>
      </c>
      <c r="U24" s="3"/>
    </row>
    <row r="25" spans="1:21" ht="12.75">
      <c r="A25" s="40" t="s">
        <v>32</v>
      </c>
      <c r="B25" s="27"/>
      <c r="C25" s="50">
        <f>E25-'[1]EU - country'!E25</f>
        <v>-7000</v>
      </c>
      <c r="D25" s="1">
        <f>F25-'[1]EU - country'!F25</f>
        <v>-1000</v>
      </c>
      <c r="E25" s="114">
        <f>Poland!E$25</f>
        <v>2000</v>
      </c>
      <c r="F25" s="148">
        <f>Poland!F$25</f>
        <v>0</v>
      </c>
      <c r="G25" s="148">
        <f>Poland!G$25</f>
        <v>2000</v>
      </c>
      <c r="H25" s="1">
        <f>Poland!H$25</f>
        <v>0</v>
      </c>
      <c r="I25" s="38">
        <f>Poland!I$25</f>
        <v>0</v>
      </c>
      <c r="J25" s="38">
        <f>Poland!J$25</f>
        <v>3000</v>
      </c>
      <c r="K25" s="38">
        <f>Poland!K$25</f>
        <v>0</v>
      </c>
      <c r="L25" s="38">
        <f>Poland!L$25</f>
        <v>6000</v>
      </c>
      <c r="M25" s="38">
        <f>Poland!M$25</f>
        <v>0</v>
      </c>
      <c r="N25" s="38">
        <f>Poland!N$25</f>
        <v>2500</v>
      </c>
      <c r="O25" s="38">
        <f>Poland!O$25</f>
        <v>3000</v>
      </c>
      <c r="P25" s="38">
        <f>Poland!P$25</f>
        <v>9000</v>
      </c>
      <c r="Q25" s="38">
        <f>Poland!Q$25</f>
        <v>5000</v>
      </c>
      <c r="R25" s="38">
        <f>Poland!R$25</f>
        <v>1000</v>
      </c>
      <c r="S25" s="65">
        <f>Poland!S$25</f>
        <v>6000</v>
      </c>
      <c r="U25" s="3"/>
    </row>
    <row r="26" spans="1:21" ht="15">
      <c r="A26" s="40" t="s">
        <v>168</v>
      </c>
      <c r="B26" s="27">
        <f t="shared" si="3"/>
        <v>-1</v>
      </c>
      <c r="C26" s="50">
        <f>E26-'[1]EU - country'!E26</f>
        <v>0</v>
      </c>
      <c r="D26" s="1">
        <f>F26-'[1]EU - country'!F26</f>
        <v>-19528</v>
      </c>
      <c r="E26" s="114">
        <f>Portugal!E$14</f>
        <v>0</v>
      </c>
      <c r="F26" s="148">
        <f>Portugal!F$14</f>
        <v>46875</v>
      </c>
      <c r="G26" s="148">
        <f>Portugal!G$14</f>
        <v>41335</v>
      </c>
      <c r="H26" s="1">
        <f>Portugal!H$14</f>
        <v>36205</v>
      </c>
      <c r="I26" s="38">
        <f>Portugal!I$14</f>
        <v>27028</v>
      </c>
      <c r="J26" s="38">
        <f>Portugal!J$14</f>
        <v>16378</v>
      </c>
      <c r="K26" s="38">
        <f>Portugal!K$14</f>
        <v>41422</v>
      </c>
      <c r="L26" s="38">
        <f>Portugal!L$14</f>
        <v>45904</v>
      </c>
      <c r="M26" s="38">
        <f>Portugal!M$14</f>
        <v>11886</v>
      </c>
      <c r="N26" s="38">
        <f>Portugal!N$14</f>
        <v>35230</v>
      </c>
      <c r="O26" s="38">
        <f>Portugal!O$14</f>
        <v>21516.4</v>
      </c>
      <c r="P26" s="38">
        <f>Portugal!P$14</f>
        <v>45419.69</v>
      </c>
      <c r="Q26" s="38">
        <f>Portugal!Q$14</f>
        <v>22919.7</v>
      </c>
      <c r="R26" s="90"/>
      <c r="S26" s="73"/>
      <c r="U26" s="3"/>
    </row>
    <row r="27" spans="1:21" ht="12.75">
      <c r="A27" s="20" t="s">
        <v>37</v>
      </c>
      <c r="B27" s="27">
        <f t="shared" si="3"/>
        <v>-0.1258476731576309</v>
      </c>
      <c r="C27" s="50">
        <f>E27-'[1]EU - country'!E27</f>
        <v>-14075.777142047933</v>
      </c>
      <c r="D27" s="1">
        <f>F27-'[1]EU - country'!F27</f>
        <v>-11018.520560046636</v>
      </c>
      <c r="E27" s="114">
        <f>Spain!E$17</f>
        <v>36536.440544556724</v>
      </c>
      <c r="F27" s="148">
        <f>Spain!F$17</f>
        <v>41796.42314347478</v>
      </c>
      <c r="G27" s="148">
        <f>Spain!G$17</f>
        <v>40096</v>
      </c>
      <c r="H27" s="1">
        <f>Spain!H$17</f>
        <v>46276</v>
      </c>
      <c r="I27" s="1">
        <f>Spain!I$17</f>
        <v>39306.84450786969</v>
      </c>
      <c r="J27" s="1">
        <f>Spain!J$17</f>
        <v>41620</v>
      </c>
      <c r="K27" s="1">
        <f>Spain!K$17</f>
        <v>50090.52120407411</v>
      </c>
      <c r="L27" s="1">
        <f>Spain!L$17</f>
        <v>60603.90434620997</v>
      </c>
      <c r="M27" s="1">
        <f>Spain!M$17</f>
        <v>27947.56297551999</v>
      </c>
      <c r="N27" s="1">
        <f>Spain!N$17</f>
        <v>79129.30145900544</v>
      </c>
      <c r="O27" s="1">
        <f>Spain!O$17</f>
        <v>74363.37279967692</v>
      </c>
      <c r="P27" s="1">
        <f>Spain!P$17</f>
        <v>52885</v>
      </c>
      <c r="Q27" s="1">
        <f>Spain!Q$17</f>
        <v>54743</v>
      </c>
      <c r="R27" s="1">
        <f>Spain!R$17</f>
        <v>53444</v>
      </c>
      <c r="S27" s="29">
        <f>Spain!S$17</f>
        <v>62454</v>
      </c>
      <c r="U27" s="3"/>
    </row>
    <row r="28" spans="1:21" ht="12.75">
      <c r="A28" s="20" t="s">
        <v>60</v>
      </c>
      <c r="B28" s="27">
        <f t="shared" si="3"/>
        <v>-0.16191138946880074</v>
      </c>
      <c r="C28" s="50">
        <f>E28-'[1]EU - country'!E28</f>
        <v>-2191</v>
      </c>
      <c r="D28" s="1">
        <f>F28-'[1]EU - country'!F28</f>
        <v>-2209</v>
      </c>
      <c r="E28" s="114">
        <f>Switzerland!E$28</f>
        <v>3613</v>
      </c>
      <c r="F28" s="148">
        <f>Switzerland!F$28</f>
        <v>4311</v>
      </c>
      <c r="G28" s="148">
        <f>Switzerland!G$28</f>
        <v>4119</v>
      </c>
      <c r="H28" s="1">
        <f>Switzerland!H$28</f>
        <v>7</v>
      </c>
      <c r="I28" s="1">
        <f>Switzerland!I$28</f>
        <v>2033</v>
      </c>
      <c r="J28" s="1">
        <f>Switzerland!J$28</f>
        <v>1865</v>
      </c>
      <c r="K28" s="1">
        <f>Switzerland!K$28</f>
        <v>3594</v>
      </c>
      <c r="L28" s="1">
        <f>Switzerland!L$28</f>
        <v>2492</v>
      </c>
      <c r="M28" s="1">
        <f>Switzerland!M$28</f>
        <v>592</v>
      </c>
      <c r="N28" s="1">
        <f>Switzerland!N$28</f>
        <v>5407</v>
      </c>
      <c r="O28" s="1">
        <f>Switzerland!O$28</f>
        <v>584</v>
      </c>
      <c r="P28" s="1">
        <f>Switzerland!P$28</f>
        <v>4401</v>
      </c>
      <c r="Q28" s="1">
        <f>Switzerland!Q$28</f>
        <v>62</v>
      </c>
      <c r="R28" s="1">
        <f>Switzerland!R$28</f>
        <v>4691</v>
      </c>
      <c r="S28" s="29">
        <f>Switzerland!S$28</f>
        <v>768</v>
      </c>
      <c r="U28" s="3"/>
    </row>
    <row r="29" spans="1:19" ht="12.75">
      <c r="A29" s="20" t="s">
        <v>1</v>
      </c>
      <c r="B29" s="27">
        <f t="shared" si="3"/>
        <v>0.1368558210112239</v>
      </c>
      <c r="C29" s="50">
        <f>E29-'[1]EU - country'!E29</f>
        <v>-39730</v>
      </c>
      <c r="D29" s="1">
        <f>F29-'[1]EU - country'!F29</f>
        <v>-35659</v>
      </c>
      <c r="E29" s="114">
        <f>Netherlands!E$15</f>
        <v>137854</v>
      </c>
      <c r="F29" s="148">
        <f>Netherlands!F$15</f>
        <v>121259</v>
      </c>
      <c r="G29" s="148">
        <f>Netherlands!G$15</f>
        <v>143414</v>
      </c>
      <c r="H29" s="1">
        <f>Netherlands!H$15</f>
        <v>121004</v>
      </c>
      <c r="I29" s="1">
        <f>Netherlands!I$15</f>
        <v>133337</v>
      </c>
      <c r="J29" s="1">
        <f>Netherlands!J$15</f>
        <v>136192</v>
      </c>
      <c r="K29" s="1">
        <f>Netherlands!K$15</f>
        <v>126294</v>
      </c>
      <c r="L29" s="1">
        <f>Netherlands!L$15</f>
        <v>117521</v>
      </c>
      <c r="M29" s="1">
        <f>Netherlands!M$15</f>
        <v>59000</v>
      </c>
      <c r="N29" s="1">
        <f>Netherlands!N$15</f>
        <v>103000</v>
      </c>
      <c r="O29" s="1">
        <f>Netherlands!O$15</f>
        <v>81000</v>
      </c>
      <c r="P29" s="1">
        <f>Netherlands!P$15</f>
        <v>88000</v>
      </c>
      <c r="Q29" s="1">
        <f>Netherlands!Q$15</f>
        <v>39000</v>
      </c>
      <c r="R29" s="1">
        <f>Netherlands!R$15</f>
        <v>61000</v>
      </c>
      <c r="S29" s="29">
        <f>Netherlands!S$15</f>
        <v>65000</v>
      </c>
    </row>
    <row r="30" spans="1:21" ht="13.5" thickBot="1">
      <c r="A30" s="20" t="s">
        <v>167</v>
      </c>
      <c r="B30" s="27">
        <f t="shared" si="3"/>
        <v>1.0514285714285714</v>
      </c>
      <c r="C30" s="180">
        <f>E30-'[1]EU - country'!E30</f>
        <v>-1483</v>
      </c>
      <c r="D30" s="1">
        <f>F30-'[1]EU - country'!F30</f>
        <v>-2122</v>
      </c>
      <c r="E30" s="114">
        <f>UK!E$19</f>
        <v>3231</v>
      </c>
      <c r="F30" s="178">
        <f>UK!F$19</f>
        <v>1575</v>
      </c>
      <c r="G30" s="178">
        <f>UK!G$19</f>
        <v>2812</v>
      </c>
      <c r="H30" s="179">
        <f>UK!H$19</f>
        <v>3641</v>
      </c>
      <c r="I30" s="179">
        <f>UK!I$19</f>
        <v>3750</v>
      </c>
      <c r="J30" s="179">
        <f>UK!J$19</f>
        <v>4600</v>
      </c>
      <c r="K30" s="179">
        <f>UK!K$19</f>
        <v>3500</v>
      </c>
      <c r="L30" s="179">
        <f>UK!L$19</f>
        <v>5400</v>
      </c>
      <c r="M30" s="179">
        <f>UK!M$19</f>
        <v>4500</v>
      </c>
      <c r="N30" s="179">
        <f>UK!N$19</f>
        <v>4600</v>
      </c>
      <c r="O30" s="179">
        <f>UK!O$19</f>
        <v>5000</v>
      </c>
      <c r="P30" s="179">
        <f>UK!P$19</f>
        <v>8500</v>
      </c>
      <c r="Q30" s="179">
        <f>UK!Q$19</f>
        <v>3400</v>
      </c>
      <c r="R30" s="179">
        <f>UK!R$19</f>
        <v>2000</v>
      </c>
      <c r="S30" s="29">
        <f>UK!S$19</f>
        <v>3000</v>
      </c>
      <c r="U30" s="3"/>
    </row>
    <row r="31" spans="1:19" ht="13.5" thickBot="1">
      <c r="A31" s="23" t="s">
        <v>23</v>
      </c>
      <c r="B31" s="111">
        <f t="shared" si="3"/>
        <v>0.3601296015275953</v>
      </c>
      <c r="C31" s="70">
        <f>E31-'[1]EU - country'!E31</f>
        <v>-154693.79341192113</v>
      </c>
      <c r="D31" s="46">
        <f>F31-'[1]EU - country'!F31</f>
        <v>-161731.77614006918</v>
      </c>
      <c r="E31" s="45">
        <f>SUM(E19:E30)</f>
        <v>428671.26191381644</v>
      </c>
      <c r="F31" s="146">
        <f>SUM(F19:F30)</f>
        <v>315169.4231434748</v>
      </c>
      <c r="G31" s="146">
        <f>SUM(G19:G30)</f>
        <v>475811.6237400807</v>
      </c>
      <c r="H31" s="46">
        <f aca="true" t="shared" si="4" ref="H31:M31">SUM(H19:H30)</f>
        <v>419878.68619727483</v>
      </c>
      <c r="I31" s="46">
        <f t="shared" si="4"/>
        <v>410160.35705154843</v>
      </c>
      <c r="J31" s="46">
        <f t="shared" si="4"/>
        <v>458983.93693775515</v>
      </c>
      <c r="K31" s="46">
        <f t="shared" si="4"/>
        <v>452718.02592109423</v>
      </c>
      <c r="L31" s="46">
        <f t="shared" si="4"/>
        <v>461074.9628572789</v>
      </c>
      <c r="M31" s="46">
        <f t="shared" si="4"/>
        <v>236299.98804438533</v>
      </c>
      <c r="N31" s="46">
        <f aca="true" t="shared" si="5" ref="N31:S31">SUM(N19:N30)</f>
        <v>476432.8557041123</v>
      </c>
      <c r="O31" s="46">
        <f t="shared" si="5"/>
        <v>323592.66405526496</v>
      </c>
      <c r="P31" s="46">
        <f t="shared" si="5"/>
        <v>393075.6566106099</v>
      </c>
      <c r="Q31" s="46">
        <f t="shared" si="5"/>
        <v>223320.7</v>
      </c>
      <c r="R31" s="46">
        <f t="shared" si="5"/>
        <v>263315</v>
      </c>
      <c r="S31" s="86">
        <f t="shared" si="5"/>
        <v>321256</v>
      </c>
    </row>
    <row r="32" spans="1:19" ht="12.75">
      <c r="A32" s="3" t="s">
        <v>162</v>
      </c>
      <c r="S32" s="1"/>
    </row>
    <row r="33" spans="1:19" ht="12.75">
      <c r="A33" s="52" t="s">
        <v>169</v>
      </c>
      <c r="S33" s="1"/>
    </row>
    <row r="34" spans="1:19" ht="12.75">
      <c r="A34" s="52"/>
      <c r="R34" s="1"/>
      <c r="S34" s="1"/>
    </row>
    <row r="35" spans="15:19" ht="12.75">
      <c r="O35" s="108"/>
      <c r="R35" s="1"/>
      <c r="S35" s="1"/>
    </row>
    <row r="36" ht="12.75">
      <c r="A36" s="71"/>
    </row>
    <row r="37" spans="1:19" ht="25.5" customHeight="1">
      <c r="A37" s="12"/>
      <c r="B37" s="12"/>
      <c r="C37" s="12"/>
      <c r="D37" s="12"/>
      <c r="E37" s="12"/>
      <c r="F37" s="174"/>
      <c r="G37" s="17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3"/>
    </row>
    <row r="38" spans="18:19" ht="12.75">
      <c r="R38" s="1"/>
      <c r="S38" s="1"/>
    </row>
    <row r="39" spans="1:20" ht="25.5" customHeight="1">
      <c r="A39" s="16"/>
      <c r="B39" s="16"/>
      <c r="C39" s="16"/>
      <c r="D39" s="16"/>
      <c r="E39" s="16"/>
      <c r="F39" s="175"/>
      <c r="G39" s="17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9"/>
    </row>
    <row r="40" spans="18:20" ht="12.75">
      <c r="R40" s="14"/>
      <c r="S40" s="14"/>
      <c r="T40" s="1"/>
    </row>
    <row r="41" spans="18:20" ht="12.75">
      <c r="R41" s="14"/>
      <c r="S41" s="14"/>
      <c r="T41" s="1"/>
    </row>
    <row r="42" spans="18:20" ht="12.75">
      <c r="R42" s="14"/>
      <c r="S42" s="14"/>
      <c r="T42" s="1"/>
    </row>
    <row r="43" spans="18:20" ht="12.75">
      <c r="R43" s="14"/>
      <c r="S43" s="14"/>
      <c r="T43" s="1"/>
    </row>
    <row r="44" spans="18:20" ht="12.75">
      <c r="R44" s="14"/>
      <c r="S44" s="14"/>
      <c r="T44" s="1"/>
    </row>
    <row r="45" spans="18:20" ht="12.75">
      <c r="R45" s="14"/>
      <c r="S45" s="14"/>
      <c r="T45" s="1"/>
    </row>
    <row r="46" spans="18:20" ht="12.75">
      <c r="R46" s="14"/>
      <c r="S46" s="14"/>
      <c r="T46" s="1"/>
    </row>
    <row r="47" spans="1:20" ht="12.75">
      <c r="A47" s="18"/>
      <c r="B47" s="18"/>
      <c r="C47" s="18"/>
      <c r="D47" s="18"/>
      <c r="E47" s="18"/>
      <c r="F47" s="176"/>
      <c r="G47" s="176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4"/>
      <c r="S47" s="14"/>
      <c r="T47" s="1"/>
    </row>
    <row r="48" spans="1:20" ht="12.75">
      <c r="A48" s="18"/>
      <c r="B48" s="18"/>
      <c r="C48" s="18"/>
      <c r="D48" s="18"/>
      <c r="E48" s="18"/>
      <c r="F48" s="176"/>
      <c r="G48" s="176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4"/>
      <c r="S48" s="14"/>
      <c r="T48" s="1"/>
    </row>
    <row r="49" spans="1:20" ht="12.75">
      <c r="A49" s="18"/>
      <c r="B49" s="18"/>
      <c r="C49" s="18"/>
      <c r="D49" s="18"/>
      <c r="E49" s="18"/>
      <c r="F49" s="176"/>
      <c r="G49" s="176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4"/>
      <c r="S49" s="14"/>
      <c r="T49" s="1"/>
    </row>
    <row r="50" spans="1:20" ht="12.75">
      <c r="A50" s="18"/>
      <c r="B50" s="18"/>
      <c r="C50" s="18"/>
      <c r="D50" s="18"/>
      <c r="E50" s="18"/>
      <c r="F50" s="176"/>
      <c r="G50" s="176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4"/>
      <c r="S50" s="14"/>
      <c r="T50" s="1"/>
    </row>
    <row r="51" spans="1:20" ht="12.75">
      <c r="A51" s="18"/>
      <c r="B51" s="18"/>
      <c r="C51" s="18"/>
      <c r="D51" s="18"/>
      <c r="E51" s="18"/>
      <c r="F51" s="176"/>
      <c r="G51" s="17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4"/>
      <c r="S51" s="14"/>
      <c r="T51" s="1"/>
    </row>
    <row r="52" spans="1:20" ht="12.75">
      <c r="A52" s="18"/>
      <c r="B52" s="18"/>
      <c r="C52" s="18"/>
      <c r="D52" s="18"/>
      <c r="E52" s="18"/>
      <c r="F52" s="176"/>
      <c r="G52" s="176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4"/>
      <c r="S52" s="14"/>
      <c r="T52" s="1"/>
    </row>
    <row r="53" spans="1:20" ht="12.75">
      <c r="A53" s="18"/>
      <c r="B53" s="18"/>
      <c r="C53" s="18"/>
      <c r="D53" s="18"/>
      <c r="E53" s="18"/>
      <c r="F53" s="176"/>
      <c r="G53" s="176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4"/>
      <c r="S53" s="14"/>
      <c r="T53" s="1"/>
    </row>
    <row r="54" spans="18:20" ht="12.75">
      <c r="R54" s="14"/>
      <c r="S54" s="14"/>
      <c r="T54" s="1"/>
    </row>
    <row r="55" spans="1:20" ht="12.75">
      <c r="A55" s="18"/>
      <c r="B55" s="18"/>
      <c r="C55" s="18"/>
      <c r="D55" s="18"/>
      <c r="E55" s="18"/>
      <c r="F55" s="176"/>
      <c r="G55" s="176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4"/>
      <c r="S55" s="14"/>
      <c r="T55" s="2"/>
    </row>
    <row r="56" spans="1:19" ht="12.75">
      <c r="A56" s="18"/>
      <c r="B56" s="18"/>
      <c r="C56" s="18"/>
      <c r="D56" s="18"/>
      <c r="E56" s="18"/>
      <c r="F56" s="176"/>
      <c r="G56" s="17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4"/>
      <c r="S56" s="14"/>
    </row>
    <row r="57" spans="1:20" ht="12.75">
      <c r="A57" s="18"/>
      <c r="B57" s="18"/>
      <c r="C57" s="18"/>
      <c r="D57" s="18"/>
      <c r="E57" s="18"/>
      <c r="F57" s="176"/>
      <c r="G57" s="176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4"/>
      <c r="S57" s="14"/>
      <c r="T57" s="1"/>
    </row>
    <row r="58" spans="1:20" ht="12.75">
      <c r="A58" s="18"/>
      <c r="B58" s="18"/>
      <c r="C58" s="18"/>
      <c r="D58" s="18"/>
      <c r="E58" s="18"/>
      <c r="F58" s="176"/>
      <c r="G58" s="176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"/>
      <c r="S58" s="14"/>
      <c r="T58" s="1"/>
    </row>
    <row r="59" spans="1:20" ht="12.75">
      <c r="A59" s="18"/>
      <c r="B59" s="18"/>
      <c r="C59" s="18"/>
      <c r="D59" s="18"/>
      <c r="E59" s="18"/>
      <c r="F59" s="176"/>
      <c r="G59" s="17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"/>
      <c r="S59" s="14"/>
      <c r="T59" s="1"/>
    </row>
    <row r="60" spans="1:20" ht="12.75">
      <c r="A60" s="18"/>
      <c r="B60" s="18"/>
      <c r="C60" s="18"/>
      <c r="D60" s="18"/>
      <c r="E60" s="18"/>
      <c r="F60" s="176"/>
      <c r="G60" s="176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"/>
      <c r="S60" s="14"/>
      <c r="T60" s="1"/>
    </row>
    <row r="61" spans="1:20" ht="12.75">
      <c r="A61" s="18"/>
      <c r="B61" s="18"/>
      <c r="C61" s="18"/>
      <c r="D61" s="18"/>
      <c r="E61" s="18"/>
      <c r="F61" s="176"/>
      <c r="G61" s="176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4"/>
      <c r="S61" s="14"/>
      <c r="T61" s="1"/>
    </row>
    <row r="62" spans="1:20" ht="12.75">
      <c r="A62" s="18"/>
      <c r="B62" s="18"/>
      <c r="C62" s="18"/>
      <c r="D62" s="18"/>
      <c r="E62" s="18"/>
      <c r="F62" s="176"/>
      <c r="G62" s="176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4"/>
      <c r="S62" s="14"/>
      <c r="T62" s="2"/>
    </row>
    <row r="63" spans="1:19" ht="26.25" customHeight="1">
      <c r="A63" s="12"/>
      <c r="B63" s="12"/>
      <c r="C63" s="12"/>
      <c r="D63" s="12"/>
      <c r="E63" s="12"/>
      <c r="F63" s="174"/>
      <c r="G63" s="17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5"/>
      <c r="S63" s="15"/>
    </row>
    <row r="64" spans="18:19" ht="12.75">
      <c r="R64" s="1"/>
      <c r="S64" s="1"/>
    </row>
    <row r="65" spans="18:19" ht="12.75">
      <c r="R65" s="1"/>
      <c r="S65" s="1"/>
    </row>
    <row r="66" spans="18:19" ht="12.75">
      <c r="R66" s="1"/>
      <c r="S66" s="1"/>
    </row>
    <row r="67" spans="18:19" ht="12.75">
      <c r="R67" s="11"/>
      <c r="S67" s="11"/>
    </row>
    <row r="68" spans="18:19" ht="12.75">
      <c r="R68" s="11"/>
      <c r="S68" s="11"/>
    </row>
    <row r="69" spans="18:19" ht="12.75">
      <c r="R69" s="1"/>
      <c r="S69" s="11"/>
    </row>
    <row r="70" spans="18:19" ht="12.75">
      <c r="R70" s="1"/>
      <c r="S70" s="1"/>
    </row>
    <row r="71" spans="18:19" ht="12.75">
      <c r="R71" s="1"/>
      <c r="S71" s="1"/>
    </row>
    <row r="72" spans="18:19" ht="12.75">
      <c r="R72" s="1"/>
      <c r="S72" s="1"/>
    </row>
    <row r="73" spans="18:19" ht="12.75">
      <c r="R73" s="1"/>
      <c r="S73" s="1"/>
    </row>
    <row r="74" spans="1:19" ht="12.75">
      <c r="A74" s="8"/>
      <c r="B74" s="8"/>
      <c r="C74" s="8"/>
      <c r="D74" s="8"/>
      <c r="E74" s="8"/>
      <c r="F74" s="177"/>
      <c r="G74" s="177"/>
      <c r="H74" s="8"/>
      <c r="I74" s="8"/>
      <c r="J74" s="8"/>
      <c r="K74" s="8"/>
      <c r="L74" s="8"/>
      <c r="M74" s="8"/>
      <c r="N74" s="8"/>
      <c r="O74" s="8"/>
      <c r="P74" s="8"/>
      <c r="Q74" s="8"/>
      <c r="R74" s="2"/>
      <c r="S74" s="2"/>
    </row>
    <row r="79" spans="1:17" ht="12.75">
      <c r="A79" s="8"/>
      <c r="B79" s="8"/>
      <c r="C79" s="8"/>
      <c r="D79" s="8"/>
      <c r="E79" s="8"/>
      <c r="F79" s="177"/>
      <c r="G79" s="177"/>
      <c r="H79" s="8"/>
      <c r="I79" s="8"/>
      <c r="J79" s="8"/>
      <c r="K79" s="8"/>
      <c r="L79" s="8"/>
      <c r="M79" s="8"/>
      <c r="N79" s="8"/>
      <c r="O79" s="8"/>
      <c r="P79" s="8"/>
      <c r="Q79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7"/>
  <sheetViews>
    <sheetView zoomScale="90" zoomScaleNormal="90" zoomScalePageLayoutView="0" workbookViewId="0" topLeftCell="A1">
      <selection activeCell="F50" sqref="F50"/>
    </sheetView>
  </sheetViews>
  <sheetFormatPr defaultColWidth="8.8515625" defaultRowHeight="12.75"/>
  <cols>
    <col min="1" max="1" width="19.8515625" style="0" customWidth="1"/>
    <col min="2" max="2" width="12.00390625" style="0" bestFit="1" customWidth="1"/>
    <col min="3" max="3" width="11.28125" style="0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7" width="10.7109375" style="0" customWidth="1"/>
  </cols>
  <sheetData>
    <row r="1" spans="1:17" ht="13.5" thickBot="1">
      <c r="A1" s="39" t="s">
        <v>91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6">
        <v>39873</v>
      </c>
    </row>
    <row r="2" spans="1:18" ht="12.75">
      <c r="A2" s="40" t="s">
        <v>20</v>
      </c>
      <c r="B2" s="101"/>
      <c r="C2" s="129">
        <f>E2-'[1]EU - variety'!E2</f>
        <v>-5000</v>
      </c>
      <c r="D2" s="38">
        <f>F2-'[1]EU - variety'!F2</f>
        <v>-5000</v>
      </c>
      <c r="E2" s="43">
        <f>Italy!E$2</f>
        <v>0</v>
      </c>
      <c r="F2" s="145">
        <f>Italy!F$2</f>
        <v>0</v>
      </c>
      <c r="G2" s="145">
        <f>Italy!G$2</f>
        <v>0</v>
      </c>
      <c r="H2" s="38">
        <f>Italy!H$2</f>
        <v>0</v>
      </c>
      <c r="I2" s="38">
        <f>Italy!I$2</f>
        <v>0</v>
      </c>
      <c r="J2" s="38">
        <f>Italy!J$2</f>
        <v>0</v>
      </c>
      <c r="K2" s="38">
        <f>Italy!K$2</f>
        <v>0</v>
      </c>
      <c r="L2" s="38">
        <f>Italy!L$2</f>
        <v>0</v>
      </c>
      <c r="M2" s="38">
        <f>Italy!M$2</f>
        <v>0</v>
      </c>
      <c r="N2" s="38">
        <f>Italy!N$2</f>
        <v>1104.4162792295535</v>
      </c>
      <c r="O2" s="38">
        <f>Italy!O$2</f>
        <v>0</v>
      </c>
      <c r="P2" s="38">
        <f>Italy!P$2</f>
        <v>0</v>
      </c>
      <c r="Q2" s="65">
        <f>Italy!Q$2</f>
        <v>0</v>
      </c>
      <c r="R2" s="38"/>
    </row>
    <row r="3" spans="1:18" ht="12.75">
      <c r="A3" s="40" t="s">
        <v>4</v>
      </c>
      <c r="B3" s="101">
        <f aca="true" t="shared" si="0" ref="B3:B32">(E3-F3)/F3</f>
        <v>-0.31312681078671717</v>
      </c>
      <c r="C3" s="129">
        <f>E3-'[1]EU - variety'!E3</f>
        <v>-3393</v>
      </c>
      <c r="D3" s="38">
        <f>F3-'[1]EU - variety'!F3</f>
        <v>-3306</v>
      </c>
      <c r="E3" s="43">
        <f>Austria!E$3+Belgium!E$2+Denmark!E$2+France!E$4+Germany!E$2+Switzerland!E$2+Netherlands!E$2+Poland!E$2</f>
        <v>3082</v>
      </c>
      <c r="F3" s="145">
        <f>Austria!F$3+Belgium!F$2+Denmark!F$2+France!F$4+Germany!F$2+Switzerland!F$2+Netherlands!F$2+Poland!F$2</f>
        <v>4487</v>
      </c>
      <c r="G3" s="145">
        <f>Austria!G$3+Belgium!G$2+Denmark!G$2+France!G$4+Germany!G$2+Switzerland!G$2+Netherlands!G$2+Poland!G$2</f>
        <v>10246.1</v>
      </c>
      <c r="H3" s="38">
        <f>Austria!H$3+Belgium!H$2+Denmark!H$2+France!H$4+Germany!H$2+Switzerland!H$2+Netherlands!H$2+Poland!H$2</f>
        <v>427</v>
      </c>
      <c r="I3" s="38">
        <f>Austria!I$3+Belgium!I$2+Denmark!I$2+France!I$4+Germany!I$2+Switzerland!I$2+Netherlands!I$2+Poland!I$2</f>
        <v>9026</v>
      </c>
      <c r="J3" s="38">
        <f>Austria!J$3+Belgium!J$2+Denmark!J$2+France!J$4+Germany!J$2+Switzerland!J$2+Netherlands!J$2+Poland!J$2</f>
        <v>9780</v>
      </c>
      <c r="K3" s="38">
        <f>Austria!K$3+Belgium!K$2+Denmark!K$2+France!K$4+Germany!K$2+Switzerland!K$2+Netherlands!K$2+Poland!K$2</f>
        <v>11243</v>
      </c>
      <c r="L3" s="38">
        <f>Austria!L$3+Belgium!L$2+Denmark!L$2+France!L$4+Germany!L$2+Switzerland!L$2+Netherlands!L$2+Poland!L$2</f>
        <v>5683</v>
      </c>
      <c r="M3" s="38">
        <f>Austria!M$3+Belgium!M$2+Denmark!M$2+France!M$4+Germany!M$2+Switzerland!M$2+Netherlands!M$2+Poland!M$2</f>
        <v>4118</v>
      </c>
      <c r="N3" s="38">
        <f>Austria!N$3+Belgium!N$2+Denmark!N$2+France!N$4+Germany!N$2+Switzerland!N$2+Netherlands!N$2+Poland!N$2</f>
        <v>5992.15</v>
      </c>
      <c r="O3" s="38">
        <f>Austria!O$3+Belgium!O$2+Denmark!O$2+France!O$4+Germany!O$2+Switzerland!O$2+Netherlands!O$2+Poland!O$2</f>
        <v>5518</v>
      </c>
      <c r="P3" s="38">
        <f>Austria!P$3+Belgium!P$2+Denmark!P$2+France!P$4+Germany!P$2+Switzerland!P$2+Netherlands!P$2+Poland!P$2</f>
        <v>6968</v>
      </c>
      <c r="Q3" s="65">
        <f>Austria!Q$3+Belgium!Q$2+Denmark!Q$2+France!Q$4+Germany!Q$2+Switzerland!Q$2+Netherlands!Q$2+Poland!Q$2</f>
        <v>12124</v>
      </c>
      <c r="R3" s="3"/>
    </row>
    <row r="4" spans="1:17" ht="12.75">
      <c r="A4" s="40" t="s">
        <v>11</v>
      </c>
      <c r="B4" s="101">
        <f t="shared" si="0"/>
        <v>-0.10722498643351412</v>
      </c>
      <c r="C4" s="129">
        <f>E4-'[1]EU - variety'!E4</f>
        <v>-20491.40000000001</v>
      </c>
      <c r="D4" s="38">
        <f>F4-'[1]EU - variety'!F4</f>
        <v>-26404.559999999998</v>
      </c>
      <c r="E4" s="43">
        <f>Austria!E$4+France!E$5+Germany!E$3+Italy!E$3+Switzerland!E$3+UK!E$2+'Czech Republic'!E$2</f>
        <v>84167.65</v>
      </c>
      <c r="F4" s="145">
        <f>Austria!F$4+France!F$5+Germany!F$3+Italy!F$3+Switzerland!F$3+UK!F$2+'Czech Republic'!F$2</f>
        <v>94276.44</v>
      </c>
      <c r="G4" s="145">
        <f>Austria!G$4+France!G$5+Germany!G$3+Italy!G$3+Switzerland!G$3+UK!G$2+'Czech Republic'!G$2</f>
        <v>111394.01000000001</v>
      </c>
      <c r="H4" s="38">
        <f>Austria!H$4+France!H$5+Germany!H$3+Italy!H$3+Switzerland!H$3+UK!H$2+'Czech Republic'!H$2</f>
        <v>56747.11</v>
      </c>
      <c r="I4" s="38">
        <f>Austria!I$4+France!I$5+Germany!I$3+Italy!I$3+Switzerland!I$3+UK!I$2+'Czech Republic'!I$2</f>
        <v>94954.8</v>
      </c>
      <c r="J4" s="38">
        <f>Austria!J$4+France!J$5+Germany!J$3+Italy!J$3+Switzerland!J$3+UK!J$2+'Czech Republic'!J$2</f>
        <v>105905.8</v>
      </c>
      <c r="K4" s="38">
        <f>Austria!K$4+France!K$5+Germany!K$3+Italy!K$3+Switzerland!K$3+UK!K$2+'Czech Republic'!K$2</f>
        <v>95329.45</v>
      </c>
      <c r="L4" s="38">
        <f>Austria!L$4+France!L$5+Germany!L$3+Italy!L$3+Switzerland!L$3+UK!L$2+'Czech Republic'!L$2</f>
        <v>106967.35</v>
      </c>
      <c r="M4" s="38">
        <f>Austria!M$4+France!M$5+Germany!M$3+Italy!M$3+Switzerland!M$3+UK!M$2+'Czech Republic'!M$2</f>
        <v>69155.35</v>
      </c>
      <c r="N4" s="38">
        <f>Austria!N$4+France!N$5+Germany!N$3+Italy!N$3+Switzerland!N$3+UK!N$2+'Czech Republic'!N$2</f>
        <v>111188.66164999391</v>
      </c>
      <c r="O4" s="38">
        <f>Austria!O$4+France!O$5+Germany!O$3+Italy!O$3+Switzerland!O$3+UK!O$2+'Czech Republic'!O$2</f>
        <v>96118</v>
      </c>
      <c r="P4" s="38">
        <f>Austria!P$4+France!P$5+Germany!P$3+Italy!P$3+Switzerland!P$3+UK!P$2+'Czech Republic'!P$2</f>
        <v>117575.29000000001</v>
      </c>
      <c r="Q4" s="65">
        <f>Austria!Q$4+France!Q$5+Germany!Q$3+Italy!Q$3+Switzerland!Q$3+UK!Q$2+'Czech Republic'!Q$2</f>
        <v>60964</v>
      </c>
    </row>
    <row r="5" spans="1:17" ht="12.75">
      <c r="A5" s="40" t="s">
        <v>36</v>
      </c>
      <c r="B5" s="101">
        <f t="shared" si="0"/>
        <v>0.011168204697986578</v>
      </c>
      <c r="C5" s="129">
        <f>E5-'[1]EU - variety'!E5</f>
        <v>-2574</v>
      </c>
      <c r="D5" s="38">
        <f>F5-'[1]EU - variety'!F5</f>
        <v>-2313</v>
      </c>
      <c r="E5" s="43">
        <f>UK!E$3</f>
        <v>19285</v>
      </c>
      <c r="F5" s="145">
        <f>UK!F$3</f>
        <v>19072</v>
      </c>
      <c r="G5" s="145">
        <f>UK!G$3</f>
        <v>26000</v>
      </c>
      <c r="H5" s="38">
        <f>UK!H$3</f>
        <v>25000</v>
      </c>
      <c r="I5" s="38">
        <f>UK!I$3</f>
        <v>5480</v>
      </c>
      <c r="J5" s="38">
        <f>UK!J$3</f>
        <v>22000</v>
      </c>
      <c r="K5" s="38">
        <f>UK!K$3</f>
        <v>38000</v>
      </c>
      <c r="L5" s="38">
        <f>UK!L$3</f>
        <v>31000</v>
      </c>
      <c r="M5" s="38">
        <f>UK!M$3</f>
        <v>14000</v>
      </c>
      <c r="N5" s="38">
        <f>UK!N$3</f>
        <v>34000</v>
      </c>
      <c r="O5" s="38">
        <f>UK!O$3</f>
        <v>38000</v>
      </c>
      <c r="P5" s="38">
        <f>UK!P$3</f>
        <v>35000</v>
      </c>
      <c r="Q5" s="65">
        <f>UK!Q$3</f>
        <v>34000</v>
      </c>
    </row>
    <row r="6" spans="1:17" ht="12.75">
      <c r="A6" s="40" t="s">
        <v>29</v>
      </c>
      <c r="B6" s="101">
        <f t="shared" si="0"/>
        <v>1.2869742198100407</v>
      </c>
      <c r="C6" s="129">
        <f>E6-'[1]EU - variety'!E6</f>
        <v>-842</v>
      </c>
      <c r="D6" s="38">
        <f>F6-'[1]EU - variety'!F6</f>
        <v>-1038</v>
      </c>
      <c r="E6" s="43">
        <f>France!E6+UK!E4</f>
        <v>3371</v>
      </c>
      <c r="F6" s="145">
        <f>France!F6+UK!F4</f>
        <v>1474</v>
      </c>
      <c r="G6" s="145">
        <f>France!G6+UK!G4</f>
        <v>1793</v>
      </c>
      <c r="H6" s="38">
        <f>France!H6+UK!H4</f>
        <v>354</v>
      </c>
      <c r="I6" s="38">
        <f>France!I6+UK!I4</f>
        <v>0</v>
      </c>
      <c r="J6" s="38">
        <f>France!J6+UK!J4</f>
        <v>1500</v>
      </c>
      <c r="K6" s="38">
        <f>France!K6+UK!K4</f>
        <v>0</v>
      </c>
      <c r="L6" s="38">
        <f>France!L6+UK!L4</f>
        <v>500</v>
      </c>
      <c r="M6" s="38">
        <f>France!M6+UK!M4</f>
        <v>0</v>
      </c>
      <c r="N6" s="38">
        <f>France!N6+UK!N4</f>
        <v>492</v>
      </c>
      <c r="O6" s="38">
        <f>France!O6+UK!O4</f>
        <v>1221</v>
      </c>
      <c r="P6" s="38">
        <f>France!P6+UK!P4</f>
        <v>2718</v>
      </c>
      <c r="Q6" s="65">
        <f>France!Q6+UK!Q4</f>
        <v>200</v>
      </c>
    </row>
    <row r="7" spans="1:17" ht="12.75">
      <c r="A7" s="40" t="s">
        <v>33</v>
      </c>
      <c r="B7" s="101"/>
      <c r="C7" s="129">
        <f>E7-'[1]EU - variety'!E7</f>
        <v>0</v>
      </c>
      <c r="D7" s="38">
        <f>F7-'[1]EU - variety'!F7</f>
        <v>0</v>
      </c>
      <c r="E7" s="43">
        <f>Poland!E$3</f>
        <v>0</v>
      </c>
      <c r="F7" s="145">
        <f>Poland!F$3</f>
        <v>0</v>
      </c>
      <c r="G7" s="145">
        <f>Poland!G$3</f>
        <v>0</v>
      </c>
      <c r="H7" s="38">
        <f>Poland!H$3</f>
        <v>0</v>
      </c>
      <c r="I7" s="38">
        <f>Poland!I$3</f>
        <v>0</v>
      </c>
      <c r="J7" s="38">
        <f>Poland!J$3</f>
        <v>0</v>
      </c>
      <c r="K7" s="38">
        <f>Poland!K$3</f>
        <v>0</v>
      </c>
      <c r="L7" s="38">
        <f>Poland!L$3</f>
        <v>0</v>
      </c>
      <c r="M7" s="38">
        <f>Poland!M$3</f>
        <v>500</v>
      </c>
      <c r="N7" s="38">
        <f>Poland!N$3</f>
        <v>500</v>
      </c>
      <c r="O7" s="38">
        <f>Poland!O$3</f>
        <v>5000</v>
      </c>
      <c r="P7" s="38">
        <f>Poland!P$3</f>
        <v>10000</v>
      </c>
      <c r="Q7" s="65">
        <f>Poland!Q$3</f>
        <v>3000</v>
      </c>
    </row>
    <row r="8" spans="1:17" ht="12.75">
      <c r="A8" s="40" t="s">
        <v>5</v>
      </c>
      <c r="B8" s="101">
        <f t="shared" si="0"/>
        <v>-0.3130287648054145</v>
      </c>
      <c r="C8" s="129">
        <f>E8-'[1]EU - variety'!E8</f>
        <v>-870</v>
      </c>
      <c r="D8" s="38">
        <f>F8-'[1]EU - variety'!F8</f>
        <v>-1635</v>
      </c>
      <c r="E8" s="43">
        <f>Belgium!E$3+Denmark!E$4+Germany!E$4+Switzerland!E$4+UK!E$5</f>
        <v>812</v>
      </c>
      <c r="F8" s="145">
        <f>Belgium!F$3+Denmark!F$4+Germany!F$4+Switzerland!F$4+UK!F$5</f>
        <v>1182</v>
      </c>
      <c r="G8" s="145">
        <f>Belgium!G$3+Denmark!G$4+Germany!G$4+Switzerland!G$4+UK!G$5</f>
        <v>1827</v>
      </c>
      <c r="H8" s="38">
        <f>Belgium!H$3+Denmark!H$4+Germany!H$4+Switzerland!H$4+UK!H$5</f>
        <v>234</v>
      </c>
      <c r="I8" s="38">
        <f>Belgium!I$3+Denmark!I$4+Germany!I$4+Switzerland!I$4+UK!I$5</f>
        <v>2100</v>
      </c>
      <c r="J8" s="38">
        <f>Belgium!J$3+Denmark!J$4+Germany!J$4+Switzerland!J$4+UK!J$5</f>
        <v>5290</v>
      </c>
      <c r="K8" s="38">
        <f>Belgium!K$3+Denmark!K$4+Germany!K$4+Switzerland!K$4+UK!K$5</f>
        <v>951</v>
      </c>
      <c r="L8" s="38">
        <f>Belgium!L$3+Denmark!L$4+Germany!L$4+Switzerland!L$4+UK!L$5</f>
        <v>6211</v>
      </c>
      <c r="M8" s="38">
        <f>Belgium!M$3+Denmark!M$4+Germany!M$4+Switzerland!M$4+UK!M$5</f>
        <v>2007</v>
      </c>
      <c r="N8" s="38">
        <f>Belgium!N$3+Denmark!N$4+Germany!N$4+Switzerland!N$4+UK!N$5</f>
        <v>4803</v>
      </c>
      <c r="O8" s="38">
        <f>Belgium!O$3+Denmark!O$4+Germany!O$4+Switzerland!O$4+UK!O$5</f>
        <v>7060</v>
      </c>
      <c r="P8" s="38">
        <f>Belgium!P$3+Denmark!P$4+Germany!P$4+Switzerland!P$4+UK!P$5</f>
        <v>6541</v>
      </c>
      <c r="Q8" s="65">
        <f>Belgium!Q$3+Denmark!Q$4+Germany!Q$4+Switzerland!Q$4+UK!Q$5</f>
        <v>3017</v>
      </c>
    </row>
    <row r="9" spans="1:17" ht="12.75">
      <c r="A9" s="40" t="s">
        <v>61</v>
      </c>
      <c r="B9" s="101">
        <f t="shared" si="0"/>
        <v>0.18417659137577005</v>
      </c>
      <c r="C9" s="129">
        <f>E9-'[1]EU - variety'!E9</f>
        <v>-38322.7</v>
      </c>
      <c r="D9" s="38">
        <f>F9-'[1]EU - variety'!F9</f>
        <v>-38453</v>
      </c>
      <c r="E9" s="43">
        <f>France!E$8+Italy!E$4</f>
        <v>115338.8</v>
      </c>
      <c r="F9" s="145">
        <f>France!F$8+Italy!F$4</f>
        <v>97400</v>
      </c>
      <c r="G9" s="145">
        <f>France!G$8+Italy!G$4</f>
        <v>98169.83</v>
      </c>
      <c r="H9" s="38">
        <f>France!H$8+Italy!H$4</f>
        <v>84696.20999999999</v>
      </c>
      <c r="I9" s="38">
        <f>France!I$8+Italy!I$4</f>
        <v>108223.8</v>
      </c>
      <c r="J9" s="38">
        <f>France!J$8+Italy!J$4</f>
        <v>90213.6</v>
      </c>
      <c r="K9" s="38">
        <f>France!K$8+Italy!K$4</f>
        <v>102202</v>
      </c>
      <c r="L9" s="38">
        <f>France!L$8+Italy!L$4</f>
        <v>74076</v>
      </c>
      <c r="M9" s="38">
        <f>France!M$8+Italy!M$4</f>
        <v>47158</v>
      </c>
      <c r="N9" s="38">
        <f>France!N$8+Italy!N$4</f>
        <v>75317.58367858129</v>
      </c>
      <c r="O9" s="38">
        <f>France!O$8+Italy!O$4</f>
        <v>55738</v>
      </c>
      <c r="P9" s="38">
        <f>France!P$8+Italy!P$4</f>
        <v>29577</v>
      </c>
      <c r="Q9" s="65">
        <f>France!Q$8+Italy!Q$4</f>
        <v>0</v>
      </c>
    </row>
    <row r="10" spans="1:17" ht="12.75">
      <c r="A10" s="40" t="s">
        <v>2</v>
      </c>
      <c r="B10" s="101">
        <f t="shared" si="0"/>
        <v>-0.33691746627552205</v>
      </c>
      <c r="C10" s="129">
        <f>E10-'[1]EU - variety'!E10</f>
        <v>-24200.700000000004</v>
      </c>
      <c r="D10" s="38">
        <f>F10-'[1]EU - variety'!F10</f>
        <v>-25686.36</v>
      </c>
      <c r="E10" s="43">
        <f>Austria!E$5+Belgium!E$4+Denmark!E$5+France!E$9+Germany!E$5+Italy!E$5+Switzerland!E$5+Netherlands!E$3+Poland!E$4</f>
        <v>54211.4</v>
      </c>
      <c r="F10" s="145">
        <f>Austria!F$5+Belgium!F$4+Denmark!F$5+France!F$9+Germany!F$5+Italy!F$5+Switzerland!F$5+Netherlands!F$3+Poland!F$4</f>
        <v>81756.64</v>
      </c>
      <c r="G10" s="145">
        <f>Austria!G$5+Belgium!G$4+Denmark!G$5+France!G$9+Germany!G$5+Italy!G$5+Switzerland!G$5+Netherlands!G$3+Poland!G$4</f>
        <v>68028.85</v>
      </c>
      <c r="H10" s="38">
        <f>Austria!H$5+Belgium!H$4+Denmark!H$5+France!H$9+Germany!H$5+Italy!H$5+Switzerland!H$5+Netherlands!H$3+Poland!H$4</f>
        <v>42192</v>
      </c>
      <c r="I10" s="38">
        <f>Austria!I$5+Belgium!I$4+Denmark!I$5+France!I$9+Germany!I$5+Italy!I$5+Switzerland!I$5+Netherlands!I$3+Poland!I$4</f>
        <v>74563</v>
      </c>
      <c r="J10" s="38">
        <f>Austria!J$5+Belgium!J$4+Denmark!J$5+France!J$9+Germany!J$5+Italy!J$5+Switzerland!J$5+Netherlands!J$3+Poland!J$4</f>
        <v>82393</v>
      </c>
      <c r="K10" s="38">
        <f>Austria!K$5+Belgium!K$4+Denmark!K$5+France!K$9+Germany!K$5+Italy!K$5+Switzerland!K$5+Netherlands!K$3+Poland!K$4</f>
        <v>94936.4</v>
      </c>
      <c r="L10" s="38">
        <f>Austria!L$5+Belgium!L$4+Denmark!L$5+France!L$9+Germany!L$5+Italy!L$5+Switzerland!L$5+Netherlands!L$3+Poland!L$4</f>
        <v>65287.15</v>
      </c>
      <c r="M10" s="38">
        <f>Austria!M$5+Belgium!M$4+Denmark!M$5+France!M$9+Germany!M$5+Italy!M$5+Switzerland!M$5+Netherlands!M$3+Poland!M$4</f>
        <v>59394.2</v>
      </c>
      <c r="N10" s="38">
        <f>Austria!N$5+Belgium!N$4+Denmark!N$5+France!N$9+Germany!N$5+Italy!N$5+Switzerland!N$5+Netherlands!N$3+Poland!N$4</f>
        <v>86472.36754104705</v>
      </c>
      <c r="O10" s="38">
        <f>Austria!O$5+Belgium!O$4+Denmark!O$5+France!O$9+Germany!O$5+Italy!O$5+Switzerland!O$5+Netherlands!O$3+Poland!O$4</f>
        <v>64207</v>
      </c>
      <c r="P10" s="38">
        <f>Austria!P$5+Belgium!P$4+Denmark!P$5+France!P$9+Germany!P$5+Italy!P$5+Switzerland!P$5+Netherlands!P$3+Poland!P$4</f>
        <v>105356</v>
      </c>
      <c r="Q10" s="65">
        <f>Austria!Q$5+Belgium!Q$4+Denmark!Q$5+France!Q$9+Germany!Q$5+Italy!Q$5+Switzerland!Q$5+Netherlands!Q$3+Poland!Q$4</f>
        <v>75879</v>
      </c>
    </row>
    <row r="11" spans="1:17" ht="12.75">
      <c r="A11" s="40" t="s">
        <v>12</v>
      </c>
      <c r="B11" s="101">
        <f t="shared" si="0"/>
        <v>0.00784767124492965</v>
      </c>
      <c r="C11" s="129">
        <f>E11-'[1]EU - variety'!E11</f>
        <v>-25660.193774482876</v>
      </c>
      <c r="D11" s="38">
        <f>F11-'[1]EU - variety'!F11</f>
        <v>-26756.849146110515</v>
      </c>
      <c r="E11" s="43">
        <f>Austria!E$7+Denmark!E$6+France!E$10+Germany!E$6+Italy!E$6+Spain!E$2</f>
        <v>103600.30773713581</v>
      </c>
      <c r="F11" s="145">
        <f>Austria!F$7+Denmark!F$6+France!F$10+Germany!F$6+Italy!F$6+Spain!F$2</f>
        <v>102793.61722309185</v>
      </c>
      <c r="G11" s="145">
        <f>Austria!G$7+Denmark!G$6+France!G$10+Germany!G$6+Italy!G$6+Spain!G$2</f>
        <v>115045.24</v>
      </c>
      <c r="H11" s="38">
        <f>Austria!H$7+Denmark!H$6+France!H$10+Germany!H$6+Italy!H$6+Spain!H$2</f>
        <v>80555.625</v>
      </c>
      <c r="I11" s="38">
        <f>Austria!I$7+Denmark!I$6+France!I$10+Germany!I$6+Italy!I$6+Spain!I$2</f>
        <v>101495.10554411937</v>
      </c>
      <c r="J11" s="38">
        <f>Austria!J$7+Denmark!J$6+France!J$10+Germany!J$6+Italy!J$6+Spain!J$2</f>
        <v>120182.61300000001</v>
      </c>
      <c r="K11" s="38">
        <f>Austria!K$7+Denmark!K$6+France!K$10+Germany!K$6+Italy!K$6+Spain!K$2</f>
        <v>106297.69459352741</v>
      </c>
      <c r="L11" s="38">
        <f>Austria!L$7+Denmark!L$6+France!L$10+Germany!L$6+Italy!L$6+Spain!L$2</f>
        <v>117146.81211557955</v>
      </c>
      <c r="M11" s="38">
        <f>Austria!M$7+Denmark!M$6+France!M$10+Germany!M$6+Italy!M$6+Spain!M$2</f>
        <v>61094.49521711701</v>
      </c>
      <c r="N11" s="38">
        <f>Austria!N$7+Denmark!N$6+France!N$10+Germany!N$6+Italy!N$6+Spain!N$2</f>
        <v>90835.26167680428</v>
      </c>
      <c r="O11" s="38">
        <f>Austria!O$7+Denmark!O$6+France!O$10+Germany!O$6+Italy!O$6+Spain!O$2</f>
        <v>99401.23980475942</v>
      </c>
      <c r="P11" s="38">
        <f>Austria!P$7+Denmark!P$6+France!P$10+Germany!P$6+Italy!P$6+Spain!P$2</f>
        <v>85201.96236918928</v>
      </c>
      <c r="Q11" s="65">
        <f>Austria!Q$7+Denmark!Q$6+France!Q$10+Germany!Q$6+Italy!Q$6+Spain!Q$2</f>
        <v>69411.4</v>
      </c>
    </row>
    <row r="12" spans="1:17" ht="12.75">
      <c r="A12" s="40" t="s">
        <v>9</v>
      </c>
      <c r="B12" s="101">
        <f t="shared" si="0"/>
        <v>0.2431052347852478</v>
      </c>
      <c r="C12" s="129">
        <f>E12-'[1]EU - variety'!E12</f>
        <v>-88531.41936166718</v>
      </c>
      <c r="D12" s="38">
        <f>F12-'[1]EU - variety'!F12</f>
        <v>-120829.99022185762</v>
      </c>
      <c r="E12" s="43">
        <f>Austria!E$8+'Czech Republic'!E$3+Denmark!E$7+France!E$11+Germany!E$7+Italy!E$7+Spain!E$3+Switzerland!E$6+UK!E$6+Poland!E$5</f>
        <v>237037.07644026232</v>
      </c>
      <c r="F12" s="145">
        <f>Austria!F$8+'Czech Republic'!F$3+Denmark!F$7+France!F$11+Germany!F$7+Italy!F$7+Spain!F$3+Switzerland!F$6+UK!F$6+Poland!F$5</f>
        <v>190681.42407204292</v>
      </c>
      <c r="G12" s="145">
        <f>Austria!G$8+'Czech Republic'!G$3+Denmark!G$7+France!G$11+Germany!G$7+Italy!G$7+Spain!G$3+Switzerland!G$6+UK!G$6+Poland!G$5</f>
        <v>213026.15</v>
      </c>
      <c r="H12" s="38">
        <f>Austria!H$8+'Czech Republic'!H$3+Denmark!H$7+France!H$11+Germany!H$7+Italy!H$7+Spain!H$3+Switzerland!H$6+UK!H$6+Poland!H$5</f>
        <v>108845</v>
      </c>
      <c r="I12" s="38">
        <f>Austria!I$8+'Czech Republic'!I$3+Denmark!I$7+France!I$11+Germany!I$7+Italy!I$7+Spain!I$3+Switzerland!I$6+UK!I$6+Poland!I$5</f>
        <v>119632.67448741196</v>
      </c>
      <c r="J12" s="38">
        <f>Austria!J$8+'Czech Republic'!J$3+Denmark!J$7+France!J$11+Germany!J$7+Italy!J$7+Spain!J$3+Switzerland!J$6+UK!J$6+Poland!J$5</f>
        <v>121705.122</v>
      </c>
      <c r="K12" s="38">
        <f>Austria!K$8+'Czech Republic'!K$3+Denmark!K$7+France!K$11+Germany!K$7+Italy!K$7+Spain!K$3+Switzerland!K$6+UK!K$6+Poland!K$5</f>
        <v>114916.83862068348</v>
      </c>
      <c r="L12" s="38">
        <f>Austria!L$8+'Czech Republic'!L$3+Denmark!L$7+France!L$11+Germany!L$7+Italy!L$7+Spain!L$3+Switzerland!L$6+UK!L$6+Poland!L$5</f>
        <v>130639.45416720705</v>
      </c>
      <c r="M12" s="38">
        <f>Austria!M$8+'Czech Republic'!M$3+Denmark!M$7+France!M$11+Germany!M$7+Italy!M$7+Spain!M$3+Switzerland!M$6+UK!M$6+Poland!M$5</f>
        <v>74611.40944150148</v>
      </c>
      <c r="N12" s="38">
        <f>Austria!N$8+'Czech Republic'!N$3+Denmark!N$7+France!N$11+Germany!N$7+Italy!N$7+Spain!N$3+Switzerland!N$6+UK!N$6+Poland!N$5</f>
        <v>104261.62490868515</v>
      </c>
      <c r="O12" s="38">
        <f>Austria!O$8+'Czech Republic'!O$3+Denmark!O$7+France!O$11+Germany!O$7+Italy!O$7+Spain!O$3+Switzerland!O$6+UK!O$6+Poland!O$5</f>
        <v>127418.85196377934</v>
      </c>
      <c r="P12" s="38">
        <f>Austria!P$8+'Czech Republic'!P$3+Denmark!P$7+France!P$11+Germany!P$7+Italy!P$7+Spain!P$3+Switzerland!P$6+UK!P$6+Poland!P$5</f>
        <v>117187.68928139869</v>
      </c>
      <c r="Q12" s="65">
        <f>Austria!Q$8+'Czech Republic'!Q$3+Denmark!Q$7+France!Q$11+Germany!Q$7+Italy!Q$7+Spain!Q$3+Switzerland!Q$6+UK!Q$6+Poland!Q$5</f>
        <v>90725.3</v>
      </c>
    </row>
    <row r="13" spans="1:17" ht="12.75">
      <c r="A13" s="40" t="s">
        <v>14</v>
      </c>
      <c r="B13" s="101">
        <f t="shared" si="0"/>
        <v>0.10211611719420012</v>
      </c>
      <c r="C13" s="129">
        <f>E13-'[1]EU - variety'!E13</f>
        <v>-10241</v>
      </c>
      <c r="D13" s="38">
        <f>F13-'[1]EU - variety'!F13</f>
        <v>-15113</v>
      </c>
      <c r="E13" s="43">
        <f>Austria!E$9+Belgium!E$5+'Czech Republic'!E$4+Denmark!E$8+Germany!E$8+Italy!E$8+Poland!E$6</f>
        <v>55259</v>
      </c>
      <c r="F13" s="145">
        <f>Austria!F$9+Belgium!F$5+'Czech Republic'!F$4+Denmark!F$8+Germany!F$8+Italy!F$8+Poland!F$6</f>
        <v>50139</v>
      </c>
      <c r="G13" s="145">
        <f>Austria!G$9+Belgium!G$5+'Czech Republic'!G$4+Denmark!G$8+Germany!G$8+Italy!G$8+Poland!G$6</f>
        <v>66241</v>
      </c>
      <c r="H13" s="38">
        <f>Austria!H$9+Belgium!H$5+'Czech Republic'!H$4+Denmark!H$8+Germany!H$8+Italy!H$8+Poland!H$6</f>
        <v>65410</v>
      </c>
      <c r="I13" s="38">
        <f>Austria!I$9+Belgium!I$5+'Czech Republic'!I$4+Denmark!I$8+Germany!I$8+Italy!I$8+Poland!I$6</f>
        <v>65748</v>
      </c>
      <c r="J13" s="38">
        <f>Austria!J$9+Belgium!J$5+'Czech Republic'!J$4+Denmark!J$8+Germany!J$8+Italy!J$8+Poland!J$6</f>
        <v>61394</v>
      </c>
      <c r="K13" s="38">
        <f>Austria!K$9+Belgium!K$5+'Czech Republic'!K$4+Denmark!K$8+Germany!K$8+Italy!K$8+Poland!K$6</f>
        <v>63022</v>
      </c>
      <c r="L13" s="38">
        <f>Austria!L$9+Belgium!L$5+'Czech Republic'!L$4+Denmark!L$8+Germany!L$8+Italy!L$8+Poland!L$6</f>
        <v>61546</v>
      </c>
      <c r="M13" s="38">
        <f>Austria!M$9+Belgium!M$5+'Czech Republic'!M$4+Denmark!M$8+Germany!M$8+Italy!M$8+Poland!M$6</f>
        <v>63715</v>
      </c>
      <c r="N13" s="38">
        <f>Austria!N$9+Belgium!N$5+'Czech Republic'!N$4+Denmark!N$8+Germany!N$8+Italy!N$8+Poland!N$6</f>
        <v>53655.07454944991</v>
      </c>
      <c r="O13" s="38">
        <f>Austria!O$9+Belgium!O$5+'Czech Republic'!O$4+Denmark!O$8+Germany!O$8+Italy!O$8+Poland!O$6</f>
        <v>14148</v>
      </c>
      <c r="P13" s="38">
        <f>Austria!P$9+Belgium!P$5+'Czech Republic'!P$4+Denmark!P$8+Germany!P$8+Italy!P$8+Poland!P$6</f>
        <v>17447.97</v>
      </c>
      <c r="Q13" s="65">
        <f>Austria!Q$9+Belgium!Q$5+'Czech Republic'!Q$4+Denmark!Q$8+Germany!Q$8+Italy!Q$8+Poland!Q$6</f>
        <v>15712.5</v>
      </c>
    </row>
    <row r="14" spans="1:17" ht="12.75">
      <c r="A14" s="40" t="s">
        <v>3</v>
      </c>
      <c r="B14" s="101">
        <f t="shared" si="0"/>
        <v>-0.1870135989187831</v>
      </c>
      <c r="C14" s="129">
        <f>E14-'[1]EU - variety'!E14</f>
        <v>-113816.62154581677</v>
      </c>
      <c r="D14" s="38">
        <f>F14-'[1]EU - variety'!F14</f>
        <v>-129459.68259119161</v>
      </c>
      <c r="E14" s="43">
        <f>Austria!E$10+Belgium!E$6+'Czech Republic'!E$5+France!E$12+Germany!E$9+Italy!E$9+Spain!E$4+Switzerland!E$8+Netherlands!E$4+Poland!E$7</f>
        <v>653725.1698613614</v>
      </c>
      <c r="F14" s="145">
        <f>Austria!F$10+Belgium!F$6+'Czech Republic'!F$5+France!F$12+Germany!F$9+Italy!F$9+Spain!F$4+Switzerland!F$8+Netherlands!F$4+Poland!F$7</f>
        <v>804103.4499371098</v>
      </c>
      <c r="G14" s="145">
        <f>Austria!G$10+Belgium!G$6+'Czech Republic'!G$5+France!G$12+Germany!G$9+Italy!G$9+Spain!G$4+Switzerland!G$8+Netherlands!G$4+Poland!G$7</f>
        <v>827667.39</v>
      </c>
      <c r="H14" s="38">
        <f>Austria!H$10+Belgium!H$6+'Czech Republic'!H$5+France!H$12+Germany!H$9+Italy!H$9+Spain!H$4+Switzerland!H$8+Netherlands!H$4+Poland!H$7</f>
        <v>583025</v>
      </c>
      <c r="I14" s="38">
        <f>Austria!I$10+Belgium!I$6+'Czech Republic'!I$5+France!I$12+Germany!I$9+Italy!I$9+Spain!I$4+Switzerland!I$8+Netherlands!I$4+Poland!I$7</f>
        <v>936823.0482818413</v>
      </c>
      <c r="J14" s="38">
        <f>Austria!J$10+Belgium!J$6+'Czech Republic'!J$5+France!J$12+Germany!J$9+Italy!J$9+Spain!J$4+Switzerland!J$8+Netherlands!J$4+Poland!J$7</f>
        <v>911114.924</v>
      </c>
      <c r="K14" s="38">
        <f>Austria!K$10+Belgium!K$6+'Czech Republic'!K$5+France!K$12+Germany!K$9+Italy!K$9+Spain!K$4+Switzerland!K$8+Netherlands!K$4+Poland!K$7</f>
        <v>955447.3153005183</v>
      </c>
      <c r="L14" s="38">
        <f>Austria!L$10+Belgium!L$6+'Czech Republic'!L$5+France!L$12+Germany!L$9+Italy!L$9+Spain!L$4+Switzerland!L$8+Netherlands!L$4+Poland!L$7</f>
        <v>872606.173423694</v>
      </c>
      <c r="M14" s="38">
        <f>Austria!M$10+Belgium!M$6+'Czech Republic'!M$5+France!M$12+Germany!M$9+Italy!M$9+Spain!M$4+Switzerland!M$8+Netherlands!M$4+Poland!M$7</f>
        <v>727727.3847562292</v>
      </c>
      <c r="N14" s="38">
        <f>Austria!N$10+Belgium!N$6+'Czech Republic'!N$5+France!N$12+Germany!N$9+Italy!N$9+Spain!N$4+Switzerland!N$8+Netherlands!N$4+Poland!N$7</f>
        <v>889698.2270132422</v>
      </c>
      <c r="O14" s="38">
        <f>Austria!O$10+Belgium!O$6+'Czech Republic'!O$5+France!O$12+Germany!O$9+Italy!O$9+Spain!O$4+Switzerland!O$8+Netherlands!O$4+Poland!O$7</f>
        <v>836815.1716547261</v>
      </c>
      <c r="P14" s="38">
        <f>Austria!P$10+Belgium!P$6+'Czech Republic'!P$5+France!P$12+Germany!P$9+Italy!P$9+Spain!P$4+Switzerland!P$8+Netherlands!P$4+Poland!P$7</f>
        <v>876987.9524233036</v>
      </c>
      <c r="Q14" s="65">
        <f>Austria!Q$10+Belgium!Q$6+'Czech Republic'!Q$5+France!Q$12+Germany!Q$9+Italy!Q$9+Spain!Q$4+Switzerland!Q$8+Netherlands!Q$4+Poland!Q$7</f>
        <v>761544.3</v>
      </c>
    </row>
    <row r="15" spans="1:17" ht="12.75">
      <c r="A15" s="40" t="s">
        <v>17</v>
      </c>
      <c r="B15" s="101">
        <f t="shared" si="0"/>
        <v>0.2697320062028979</v>
      </c>
      <c r="C15" s="129">
        <f>E15-'[1]EU - variety'!E15</f>
        <v>-22379.221134018866</v>
      </c>
      <c r="D15" s="38">
        <f>F15-'[1]EU - variety'!F15</f>
        <v>-28359.18821565094</v>
      </c>
      <c r="E15" s="43">
        <f>Austria!E$11+France!E$14+Italy!E$10+Spain!E$5+Switzerland!E$9+Denmark!E$8</f>
        <v>127243.83636562435</v>
      </c>
      <c r="F15" s="145">
        <f>Austria!F$11+France!F$14+Italy!F$10+Spain!F$5+Switzerland!F$9+Denmark!F$8</f>
        <v>100213.1439894501</v>
      </c>
      <c r="G15" s="145">
        <f>Austria!G$11+France!G$14+Italy!G$10+Spain!G$5+Switzerland!G$9</f>
        <v>110713.1</v>
      </c>
      <c r="H15" s="38">
        <f>Austria!H$11+France!H$14+Italy!H$10+Spain!H$5+Switzerland!H$9</f>
        <v>112520.185</v>
      </c>
      <c r="I15" s="38">
        <f>Austria!I$11+France!I$14+Italy!I$10+Spain!I$5+Switzerland!I$9</f>
        <v>102670.19604762777</v>
      </c>
      <c r="J15" s="38">
        <f>Austria!J$11+France!J$14+Italy!J$10+Spain!J$5+Switzerland!J$9</f>
        <v>125012.17000000001</v>
      </c>
      <c r="K15" s="38">
        <f>Austria!K$11+France!K$14+Italy!K$10+Spain!K$5+Switzerland!K$9</f>
        <v>115798.96011769936</v>
      </c>
      <c r="L15" s="38">
        <f>Austria!L$11+France!L$14+Italy!L$10+Spain!L$5+Switzerland!L$9</f>
        <v>110865.26487300542</v>
      </c>
      <c r="M15" s="38">
        <f>Austria!M$11+France!M$14+Italy!M$10+Spain!M$5+Switzerland!M$9</f>
        <v>64628.486219931816</v>
      </c>
      <c r="N15" s="38">
        <f>Austria!N$11+France!N$14+Italy!N$10+Spain!N$5+Switzerland!N$9</f>
        <v>89912.83994734733</v>
      </c>
      <c r="O15" s="38">
        <f>Austria!O$11+France!O$14+Italy!O$10+Spain!O$5+Switzerland!O$9</f>
        <v>79191.67588268542</v>
      </c>
      <c r="P15" s="38">
        <f>Austria!P$11+France!P$14+Italy!P$10+Spain!P$5+Switzerland!P$9</f>
        <v>79448.33705793232</v>
      </c>
      <c r="Q15" s="65">
        <f>Austria!Q$11+France!Q$14+Italy!Q$10+Spain!Q$5+Switzerland!Q$9</f>
        <v>42666.2</v>
      </c>
    </row>
    <row r="16" spans="1:17" ht="12.75">
      <c r="A16" s="40" t="s">
        <v>15</v>
      </c>
      <c r="B16" s="101"/>
      <c r="C16" s="129">
        <f>E16-'[1]EU - variety'!E16</f>
        <v>-668</v>
      </c>
      <c r="D16" s="38">
        <f>F16-'[1]EU - variety'!F16</f>
        <v>-52</v>
      </c>
      <c r="E16" s="43">
        <f>Denmark!E$10+Germany!E$10</f>
        <v>100</v>
      </c>
      <c r="F16" s="145">
        <f>Denmark!F$10+Germany!F$10</f>
        <v>0</v>
      </c>
      <c r="G16" s="145">
        <f>Denmark!G$10+Germany!G$10</f>
        <v>150</v>
      </c>
      <c r="H16" s="38">
        <f>Denmark!H$10+Germany!H$10</f>
        <v>0</v>
      </c>
      <c r="I16" s="38">
        <f>Denmark!I$10+Germany!I$10</f>
        <v>300</v>
      </c>
      <c r="J16" s="38">
        <f>Denmark!J$10+Germany!J$10</f>
        <v>335</v>
      </c>
      <c r="K16" s="38">
        <f>Denmark!K$10+Germany!K$10</f>
        <v>568</v>
      </c>
      <c r="L16" s="38">
        <f>Denmark!L$10+Germany!L$10</f>
        <v>376</v>
      </c>
      <c r="M16" s="38">
        <f>Denmark!M$10+Germany!M$10</f>
        <v>2</v>
      </c>
      <c r="N16" s="38">
        <f>Denmark!N$10+Germany!N$10</f>
        <v>742</v>
      </c>
      <c r="O16" s="38">
        <f>Denmark!O$10+Germany!O$10</f>
        <v>95</v>
      </c>
      <c r="P16" s="38">
        <f>Denmark!P$10+Germany!P$10</f>
        <v>410</v>
      </c>
      <c r="Q16" s="65">
        <f>Denmark!Q$10+Germany!Q$10</f>
        <v>5</v>
      </c>
    </row>
    <row r="17" spans="1:18" ht="12.75">
      <c r="A17" s="40" t="s">
        <v>10</v>
      </c>
      <c r="B17" s="101">
        <f t="shared" si="0"/>
        <v>0.5286656923854033</v>
      </c>
      <c r="C17" s="129">
        <f>E17-'[1]EU - variety'!E17</f>
        <v>-31534.650000000023</v>
      </c>
      <c r="D17" s="38">
        <f>F17-'[1]EU - variety'!F17</f>
        <v>-22086.399999999994</v>
      </c>
      <c r="E17" s="43">
        <f>Austria!E$12+'Czech Republic'!E$6+Denmark!E$11+France!E$16+Germany!E$11+Italy!E$11+Switzerland!E$10+Poland!E$8</f>
        <v>187027.05</v>
      </c>
      <c r="F17" s="145">
        <f>Austria!F$12+'Czech Republic'!F$6+Denmark!F$11+France!F$16+Germany!F$11+Italy!F$11+Switzerland!F$10+Poland!F$8</f>
        <v>122346.6</v>
      </c>
      <c r="G17" s="145">
        <f>Austria!G$12+'Czech Republic'!G$6+Denmark!G$11+France!G$16+Germany!G$11+Italy!G$11+Switzerland!G$10+Poland!G$8</f>
        <v>257177.65</v>
      </c>
      <c r="H17" s="38">
        <f>Austria!H$12+'Czech Republic'!H$6+Denmark!H$11+France!H$16+Germany!H$11+Italy!H$11+Switzerland!H$10+Poland!H$8</f>
        <v>105586</v>
      </c>
      <c r="I17" s="38">
        <f>Austria!I$12+'Czech Republic'!I$6+Denmark!I$11+France!I$16+Germany!I$11+Italy!I$11+Switzerland!I$10+Poland!I$8</f>
        <v>235785.5</v>
      </c>
      <c r="J17" s="38">
        <f>Austria!J$12+'Czech Republic'!J$6+Denmark!J$11+France!J$16+Germany!J$11+Italy!J$11+Switzerland!J$10+Poland!J$8</f>
        <v>260909.3</v>
      </c>
      <c r="K17" s="38">
        <f>Austria!K$12+'Czech Republic'!K$6+Denmark!K$11+France!K$16+Germany!K$11+Italy!K$11+Switzerland!K$10+Poland!K$8</f>
        <v>219200.05</v>
      </c>
      <c r="L17" s="38">
        <f>Austria!L$12+'Czech Republic'!L$6+Denmark!L$11+France!L$16+Germany!L$11+Italy!L$11+Switzerland!L$10+Poland!L$8</f>
        <v>218946.05</v>
      </c>
      <c r="M17" s="38">
        <f>Austria!M$12+'Czech Republic'!M$6+Denmark!M$11+France!M$16+Germany!M$11+Italy!M$11+Switzerland!M$10+Poland!M$8</f>
        <v>217164.25</v>
      </c>
      <c r="N17" s="38">
        <f>Austria!N$12+'Czech Republic'!N$6+Denmark!N$11+France!N$16+Germany!N$11+Italy!N$11+Switzerland!N$10+Poland!N$8</f>
        <v>194389.72911437723</v>
      </c>
      <c r="O17" s="38">
        <f>Austria!O$12+'Czech Republic'!O$6+Denmark!O$11+France!O$16+Germany!O$11+Italy!O$11+Switzerland!O$10+Poland!O$8</f>
        <v>117608</v>
      </c>
      <c r="P17" s="38">
        <f>Austria!P$12+'Czech Republic'!P$6+Denmark!P$11+France!P$16+Germany!P$11+Italy!P$11+Switzerland!P$10+Poland!P$8</f>
        <v>140920.25</v>
      </c>
      <c r="Q17" s="65">
        <f>Austria!Q$12+'Czech Republic'!Q$6+Denmark!Q$11+France!Q$16+Germany!Q$11+Italy!Q$11+Switzerland!Q$10+Poland!Q$8</f>
        <v>167126</v>
      </c>
      <c r="R17" s="1"/>
    </row>
    <row r="18" spans="1:18" ht="12.75">
      <c r="A18" s="40" t="s">
        <v>27</v>
      </c>
      <c r="B18" s="101">
        <f t="shared" si="0"/>
        <v>0.07898877915227599</v>
      </c>
      <c r="C18" s="129">
        <f>E18-'[1]EU - variety'!E18</f>
        <v>-33099.30000000002</v>
      </c>
      <c r="D18" s="38">
        <f>F18-'[1]EU - variety'!F18</f>
        <v>-26058.959999999992</v>
      </c>
      <c r="E18" s="43">
        <f>Austria!E$13+Belgium!E$7+'Czech Republic'!E$7+Denmark!E$13+France!E$18+Germany!E$13+Italy!E$12+Switzerland!E$11+Netherlands!E$5+UK!E$7+Poland!E$9</f>
        <v>143485.05</v>
      </c>
      <c r="F18" s="145">
        <f>Austria!F$13+Belgium!F$7+'Czech Republic'!F$7+Denmark!F$13+France!F$18+Germany!F$13+Italy!F$12+Switzerland!F$11+Netherlands!F$5+UK!F$7+Poland!F$9</f>
        <v>132981.04</v>
      </c>
      <c r="G18" s="145">
        <f>Austria!G$13+Belgium!G$7+'Czech Republic'!G$7+Denmark!G$13+France!G$18+Germany!G$13+Italy!G$12+Switzerland!G$11+Netherlands!G$5+UK!G$7+Poland!G$9</f>
        <v>183762.85</v>
      </c>
      <c r="H18" s="38">
        <f>Austria!H$13+Belgium!H$7+'Czech Republic'!H$7+Denmark!H$13+France!H$18+Germany!H$13+Italy!H$12+Switzerland!H$11+Netherlands!H$5+UK!H$7+Poland!H$9</f>
        <v>76571</v>
      </c>
      <c r="I18" s="38">
        <f>Austria!I$13+Belgium!I$7+'Czech Republic'!I$7+Denmark!I$13+France!I$18+Germany!I$13+Italy!I$12+Switzerland!I$11+Netherlands!I$5+UK!I$7+Poland!I$9</f>
        <v>186215.25</v>
      </c>
      <c r="J18" s="38">
        <f>Austria!J$13+Belgium!J$7+'Czech Republic'!J$7+Denmark!J$13+France!J$18+Germany!J$13+Italy!J$12+Switzerland!J$11+Netherlands!J$5+UK!J$7+Poland!J$9</f>
        <v>214713.7</v>
      </c>
      <c r="K18" s="38">
        <f>Austria!K$13+Belgium!K$7+'Czech Republic'!K$7+Denmark!K$13+France!K$18+Germany!K$13+Italy!K$12+Switzerland!K$11+Netherlands!K$5+UK!K$7+Poland!K$9</f>
        <v>229330.45</v>
      </c>
      <c r="L18" s="38">
        <f>Austria!L$13+Belgium!L$7+'Czech Republic'!L$7+Denmark!L$13+France!L$18+Germany!L$13+Italy!L$12+Switzerland!L$11+Netherlands!L$5+UK!L$7+Poland!L$9</f>
        <v>200488.3</v>
      </c>
      <c r="M18" s="38">
        <f>Austria!M$13+Belgium!M$7+'Czech Republic'!M$7+Denmark!M$13+France!M$18+Germany!M$13+Italy!M$12+Switzerland!M$11+Netherlands!M$5+UK!M$7+Poland!M$9</f>
        <v>179195.55</v>
      </c>
      <c r="N18" s="38">
        <f>Austria!N$13+Belgium!N$7+'Czech Republic'!N$7+Denmark!N$13+France!N$18+Germany!N$13+Italy!N$12+Switzerland!N$11+Netherlands!N$5+UK!N$7+Poland!N$9</f>
        <v>237160.0931788567</v>
      </c>
      <c r="O18" s="38">
        <f>Austria!O$13+Belgium!O$7+'Czech Republic'!O$7+Denmark!O$13+France!O$18+Germany!O$13+Italy!O$12+Switzerland!O$11+Netherlands!O$5+UK!O$7+Poland!O$9</f>
        <v>157041.1078040433</v>
      </c>
      <c r="P18" s="38">
        <f>Austria!P$13+Belgium!P$7+'Czech Republic'!P$7+Denmark!P$13+France!P$18+Germany!P$13+Italy!P$12+Switzerland!P$11+Netherlands!P$5+UK!P$7+Poland!P$9</f>
        <v>270205.66000000003</v>
      </c>
      <c r="Q18" s="65">
        <f>Austria!Q$13+Belgium!Q$7+'Czech Republic'!Q$7+Denmark!Q$13+France!Q$18+Germany!Q$13+Italy!Q$12+Switzerland!Q$11+Netherlands!Q$5+UK!Q$7+Poland!Q$9</f>
        <v>249973</v>
      </c>
      <c r="R18" s="1"/>
    </row>
    <row r="19" spans="1:17" ht="12.75">
      <c r="A19" s="40" t="s">
        <v>26</v>
      </c>
      <c r="B19" s="101">
        <f t="shared" si="0"/>
        <v>-0.2944813816898951</v>
      </c>
      <c r="C19" s="129">
        <f>E19-'[1]EU - variety'!E19</f>
        <v>-2879</v>
      </c>
      <c r="D19" s="38">
        <f>F19-'[1]EU - variety'!F19</f>
        <v>-6968</v>
      </c>
      <c r="E19" s="43">
        <f>Austria!E$14+Belgium!E$8+Denmark!E$14+Germany!E$14+UK!E$8</f>
        <v>36397</v>
      </c>
      <c r="F19" s="145">
        <f>Austria!F$14+Belgium!F$8+Denmark!F$14+Germany!F$14+UK!F$8</f>
        <v>51589</v>
      </c>
      <c r="G19" s="145">
        <f>Austria!G$14+Belgium!G$8+Denmark!G$14+Germany!G$14+UK!G$8</f>
        <v>77734</v>
      </c>
      <c r="H19" s="38">
        <f>Austria!H$14+Belgium!H$8+Denmark!H$14+Germany!H$14+UK!H$8</f>
        <v>20983</v>
      </c>
      <c r="I19" s="38">
        <f>Austria!I$14+Belgium!I$8+Denmark!I$14+Germany!I$14+UK!I$8</f>
        <v>70933.2</v>
      </c>
      <c r="J19" s="38">
        <f>Austria!J$14+Belgium!J$8+Denmark!J$14+Germany!J$14+UK!J$8</f>
        <v>77094</v>
      </c>
      <c r="K19" s="38">
        <f>Austria!K$14+Belgium!K$8+Denmark!K$14+Germany!K$14+UK!K$8</f>
        <v>97029.1</v>
      </c>
      <c r="L19" s="38">
        <f>Austria!L$14+Belgium!L$8+Denmark!L$14+Germany!L$14+UK!L$8</f>
        <v>59872.35</v>
      </c>
      <c r="M19" s="38">
        <f>Austria!M$14+Belgium!M$8+Denmark!M$14+Germany!M$14+UK!M$8</f>
        <v>75485.9</v>
      </c>
      <c r="N19" s="38">
        <f>Austria!N$14+Belgium!N$8+Denmark!N$14+Germany!N$14+UK!N$8</f>
        <v>89190.6</v>
      </c>
      <c r="O19" s="38">
        <f>Austria!O$14+Belgium!O$8+Denmark!O$14+Germany!O$14+UK!O$8</f>
        <v>67581.68493176895</v>
      </c>
      <c r="P19" s="38">
        <f>Austria!P$14+Belgium!P$8+Denmark!P$14+Germany!P$14+UK!P$8</f>
        <v>90135</v>
      </c>
      <c r="Q19" s="65">
        <f>Austria!Q$14+Belgium!Q$8+Denmark!Q$14+Germany!Q$14+UK!Q$8</f>
        <v>83461</v>
      </c>
    </row>
    <row r="20" spans="1:17" ht="12.75">
      <c r="A20" s="40" t="s">
        <v>50</v>
      </c>
      <c r="B20" s="101"/>
      <c r="C20" s="129">
        <f>E20-'[1]EU - variety'!E20</f>
        <v>0</v>
      </c>
      <c r="D20" s="38">
        <f>F20-'[1]EU - variety'!F20</f>
        <v>0</v>
      </c>
      <c r="E20" s="43">
        <f>Italy!E$13</f>
        <v>0</v>
      </c>
      <c r="F20" s="145">
        <f>Italy!F$13</f>
        <v>0</v>
      </c>
      <c r="G20" s="145">
        <f>Italy!G$13</f>
        <v>0</v>
      </c>
      <c r="H20" s="38">
        <f>Italy!H$13</f>
        <v>0</v>
      </c>
      <c r="I20" s="38">
        <f>Italy!I$13</f>
        <v>0</v>
      </c>
      <c r="J20" s="38">
        <f>Italy!J$13</f>
        <v>0</v>
      </c>
      <c r="K20" s="38">
        <f>Italy!K$13</f>
        <v>12</v>
      </c>
      <c r="L20" s="38">
        <f>Italy!L$13</f>
        <v>0</v>
      </c>
      <c r="M20" s="38">
        <f>Italy!M$13</f>
        <v>0</v>
      </c>
      <c r="N20" s="38">
        <f>Italy!N$13</f>
        <v>2.0043852617596256</v>
      </c>
      <c r="O20" s="38">
        <f>Italy!O$13</f>
        <v>0</v>
      </c>
      <c r="P20" s="38">
        <f>Italy!P$13</f>
        <v>2</v>
      </c>
      <c r="Q20" s="65">
        <f>Italy!Q$13</f>
        <v>42</v>
      </c>
    </row>
    <row r="21" spans="1:17" ht="12.75">
      <c r="A21" s="40" t="s">
        <v>34</v>
      </c>
      <c r="B21" s="101"/>
      <c r="C21" s="129">
        <f>E21-'[1]EU - variety'!E21</f>
        <v>0</v>
      </c>
      <c r="D21" s="38">
        <f>F21-'[1]EU - variety'!F21</f>
        <v>0</v>
      </c>
      <c r="E21" s="43">
        <f>Poland!E$11</f>
        <v>0</v>
      </c>
      <c r="F21" s="145">
        <f>Poland!F$11</f>
        <v>0</v>
      </c>
      <c r="G21" s="145">
        <f>Poland!G$11</f>
        <v>0</v>
      </c>
      <c r="H21" s="38">
        <f>Poland!H$11</f>
        <v>0</v>
      </c>
      <c r="I21" s="38">
        <f>Poland!I$11</f>
        <v>0</v>
      </c>
      <c r="J21" s="38">
        <f>Poland!J$11</f>
        <v>0</v>
      </c>
      <c r="K21" s="38">
        <f>Poland!K$11</f>
        <v>0</v>
      </c>
      <c r="L21" s="38">
        <f>Poland!L$11</f>
        <v>0</v>
      </c>
      <c r="M21" s="38">
        <f>Poland!M$11</f>
        <v>0</v>
      </c>
      <c r="N21" s="38">
        <f>Poland!N$11</f>
        <v>500</v>
      </c>
      <c r="O21" s="38">
        <f>Poland!O$11</f>
        <v>15000</v>
      </c>
      <c r="P21" s="38">
        <f>Poland!P$11</f>
        <v>40000</v>
      </c>
      <c r="Q21" s="65">
        <f>Poland!Q$11</f>
        <v>15000</v>
      </c>
    </row>
    <row r="22" spans="1:17" ht="12.75">
      <c r="A22" s="40" t="s">
        <v>18</v>
      </c>
      <c r="B22" s="101">
        <f t="shared" si="0"/>
        <v>0.3844413372314732</v>
      </c>
      <c r="C22" s="129">
        <f>E22-'[1]EU - variety'!E22</f>
        <v>-3719.4400000000005</v>
      </c>
      <c r="D22" s="38">
        <f>F22-'[1]EU - variety'!F22</f>
        <v>-3368</v>
      </c>
      <c r="E22" s="43">
        <f>Italy!E$14</f>
        <v>10891.4</v>
      </c>
      <c r="F22" s="145">
        <f>Italy!F$14</f>
        <v>7867</v>
      </c>
      <c r="G22" s="145">
        <f>Italy!G$14</f>
        <v>10759.900000000001</v>
      </c>
      <c r="H22" s="38">
        <f>Italy!H$14</f>
        <v>5840.4</v>
      </c>
      <c r="I22" s="38">
        <f>Italy!I$14</f>
        <v>11542.099999999999</v>
      </c>
      <c r="J22" s="38">
        <f>Italy!J$14</f>
        <v>13492.05</v>
      </c>
      <c r="K22" s="38">
        <f>Italy!K$14</f>
        <v>19319</v>
      </c>
      <c r="L22" s="38">
        <f>Italy!L$14</f>
        <v>15744</v>
      </c>
      <c r="M22" s="38">
        <f>Italy!M$14</f>
        <v>14963</v>
      </c>
      <c r="N22" s="38">
        <f>Italy!N$14</f>
        <v>9340.435319799855</v>
      </c>
      <c r="O22" s="38">
        <f>Italy!O$14</f>
        <v>24617</v>
      </c>
      <c r="P22" s="38">
        <f>Italy!P$14</f>
        <v>14982.9</v>
      </c>
      <c r="Q22" s="65">
        <f>Italy!Q$14</f>
        <v>28339.9</v>
      </c>
    </row>
    <row r="23" spans="1:17" ht="12.75">
      <c r="A23" s="40" t="s">
        <v>13</v>
      </c>
      <c r="B23" s="101">
        <f t="shared" si="0"/>
        <v>0.45916385390548486</v>
      </c>
      <c r="C23" s="129">
        <f>E23-'[1]EU - variety'!E23</f>
        <v>-14150.550000000003</v>
      </c>
      <c r="D23" s="38">
        <f>F23-'[1]EU - variety'!F23</f>
        <v>-8429.760000000002</v>
      </c>
      <c r="E23" s="43">
        <f>Austria!E$16+Denmark!E$16+Germany!E$15+Switzerland!E$14+Poland!E$12+Italy!E$15</f>
        <v>55006.45</v>
      </c>
      <c r="F23" s="145">
        <f>Austria!F$16+Denmark!F$16+Germany!F$15+Switzerland!F$14+Poland!F$12+Italy!F$15</f>
        <v>37697.24</v>
      </c>
      <c r="G23" s="145">
        <f>Austria!G$16+Denmark!G$16+Germany!G$15+Switzerland!G$14+Poland!G$12+Italy!G$15</f>
        <v>49443.92</v>
      </c>
      <c r="H23" s="38">
        <f>Austria!H$16+Denmark!H$16+Germany!H$15+Switzerland!H$14+Poland!H$12</f>
        <v>8656</v>
      </c>
      <c r="I23" s="38">
        <f>Austria!I$16+Denmark!I$16+Germany!I$15+Switzerland!I$14+Poland!I$12</f>
        <v>13620.3</v>
      </c>
      <c r="J23" s="38">
        <f>Austria!J$16+Denmark!J$16+Germany!J$15+Switzerland!J$14+Poland!J$12</f>
        <v>15813</v>
      </c>
      <c r="K23" s="38">
        <f>Austria!K$16+Denmark!K$16+Germany!K$15+Switzerland!K$14+Poland!K$12</f>
        <v>15962.4</v>
      </c>
      <c r="L23" s="38">
        <f>Austria!L$16+Denmark!L$16+Germany!L$15+Switzerland!L$14+Poland!L$12</f>
        <v>15219.5</v>
      </c>
      <c r="M23" s="38">
        <f>Austria!M$16+Denmark!M$16+Germany!M$15+Switzerland!M$14+Poland!M$12</f>
        <v>9534.95</v>
      </c>
      <c r="N23" s="38">
        <f>Austria!N$16+Denmark!N$16+Germany!N$15+Switzerland!N$14+Poland!N$12</f>
        <v>9428.45</v>
      </c>
      <c r="O23" s="38">
        <f>Austria!O$16+Denmark!O$16+Germany!O$15+Switzerland!O$14+Poland!O$12</f>
        <v>8159</v>
      </c>
      <c r="P23" s="38">
        <f>Austria!P$16+Denmark!P$16+Germany!P$15+Switzerland!P$14+Poland!P$12</f>
        <v>12602</v>
      </c>
      <c r="Q23" s="65">
        <f>Austria!Q$16+Denmark!Q$16+Germany!Q$15+Switzerland!Q$14+Poland!Q$12</f>
        <v>8109</v>
      </c>
    </row>
    <row r="24" spans="1:17" ht="12.75">
      <c r="A24" s="40" t="s">
        <v>19</v>
      </c>
      <c r="B24" s="101">
        <f t="shared" si="0"/>
        <v>0.1784234320464512</v>
      </c>
      <c r="C24" s="129">
        <f>E24-'[1]EU - variety'!E24</f>
        <v>-38542.966752989945</v>
      </c>
      <c r="D24" s="38">
        <f>F24-'[1]EU - variety'!F24</f>
        <v>-37429.955549350314</v>
      </c>
      <c r="E24" s="43">
        <f>'Czech Republic'!E$8+France!E$19+Italy!E$16+Spain!E$6+Poland!E$13</f>
        <v>125034.56058676259</v>
      </c>
      <c r="F24" s="145">
        <f>'Czech Republic'!F$8+France!F$19+Italy!F$16+Spain!F$6+Poland!F$13</f>
        <v>106103.25387847003</v>
      </c>
      <c r="G24" s="145">
        <f>'Czech Republic'!G$8+France!G$19+Italy!G$16+Spain!G$6+Poland!G$13</f>
        <v>125966.61</v>
      </c>
      <c r="H24" s="38">
        <f>'Czech Republic'!H$8+France!H$19+Italy!H$16+Spain!H$6+Poland!H$13</f>
        <v>78891.01999999999</v>
      </c>
      <c r="I24" s="38">
        <f>'Czech Republic'!I$8+France!I$19+Italy!I$16+Spain!I$6+Poland!I$13</f>
        <v>120126.83116289748</v>
      </c>
      <c r="J24" s="38">
        <f>'Czech Republic'!J$8+France!J$19+Italy!J$16+Spain!J$6+Poland!J$13</f>
        <v>110386.74</v>
      </c>
      <c r="K24" s="38">
        <f>'Czech Republic'!K$8+France!K$19+Italy!K$16+Spain!K$6+Poland!K$13</f>
        <v>104464.63257713092</v>
      </c>
      <c r="L24" s="38">
        <f>'Czech Republic'!L$8+France!L$19+Italy!L$16+Spain!L$6+Poland!L$13</f>
        <v>108360.60030713737</v>
      </c>
      <c r="M24" s="38">
        <f>'Czech Republic'!M$8+France!M$19+Italy!M$16+Spain!M$6+Poland!M$13</f>
        <v>71106.03845487916</v>
      </c>
      <c r="N24" s="38">
        <f>'Czech Republic'!N$8+France!N$19+Italy!N$16+Spain!N$6+Poland!N$13</f>
        <v>90740.8538792357</v>
      </c>
      <c r="O24" s="38">
        <f>'Czech Republic'!O$8+France!O$19+Italy!O$16+Spain!O$6+Poland!O$13</f>
        <v>99811.40354312159</v>
      </c>
      <c r="P24" s="38">
        <f>'Czech Republic'!P$8+France!P$19+Italy!P$16+Spain!P$6+Poland!P$13</f>
        <v>123147.75552109884</v>
      </c>
      <c r="Q24" s="65">
        <f>'Czech Republic'!Q$8+France!Q$19+Italy!Q$16+Spain!Q$6+Poland!Q$13</f>
        <v>102101.8</v>
      </c>
    </row>
    <row r="25" spans="1:17" ht="12.75">
      <c r="A25" s="40" t="s">
        <v>134</v>
      </c>
      <c r="B25" s="101">
        <f t="shared" si="0"/>
        <v>0.3438904670468832</v>
      </c>
      <c r="C25" s="129">
        <f>E25-'[1]EU - variety'!E25</f>
        <v>-33733.2</v>
      </c>
      <c r="D25" s="38">
        <f>F25-'[1]EU - variety'!F25</f>
        <v>-20465.320000000007</v>
      </c>
      <c r="E25" s="43">
        <f>Germany!E$16+Austria!E$17+Poland!E$14</f>
        <v>127771.3</v>
      </c>
      <c r="F25" s="145">
        <f>Germany!F$16+Austria!F$17+Poland!F$14</f>
        <v>95075.68</v>
      </c>
      <c r="G25" s="145">
        <f>Germany!G$16+Austria!G$17+Poland!G$14</f>
        <v>58252.6</v>
      </c>
      <c r="H25" s="38">
        <f>Germany!H$16+Austria!H$17</f>
        <v>34743</v>
      </c>
      <c r="I25" s="38">
        <f>Germany!I$16</f>
        <v>51419</v>
      </c>
      <c r="J25" s="38">
        <f>Germany!J$16</f>
        <v>30421</v>
      </c>
      <c r="K25" s="38">
        <f>Germany!K$16</f>
        <v>29472</v>
      </c>
      <c r="L25" s="38">
        <f>Germany!L$16</f>
        <v>13657</v>
      </c>
      <c r="M25" s="38">
        <f>Germany!M$16</f>
        <v>21503</v>
      </c>
      <c r="N25" s="38">
        <f>Germany!N$16</f>
        <v>15738</v>
      </c>
      <c r="O25" s="38">
        <f>Germany!O$16</f>
        <v>11201</v>
      </c>
      <c r="P25" s="38">
        <f>Germany!P$16</f>
        <v>14449</v>
      </c>
      <c r="Q25" s="65">
        <f>Germany!Q$16</f>
        <v>9322</v>
      </c>
    </row>
    <row r="26" spans="1:103" s="4" customFormat="1" ht="13.5" thickBot="1">
      <c r="A26" s="40" t="s">
        <v>123</v>
      </c>
      <c r="B26" s="101">
        <f t="shared" si="0"/>
        <v>0.4141630604119786</v>
      </c>
      <c r="C26" s="129">
        <f>E26-'[1]EU - variety'!E26</f>
        <v>-7013.639999999999</v>
      </c>
      <c r="D26" s="38">
        <f>F26-'[1]EU - variety'!F26</f>
        <v>-5615</v>
      </c>
      <c r="E26" s="43">
        <f>France!E$21+France!E$20+Italy!E$17+Switzerland!E$12</f>
        <v>24508.86</v>
      </c>
      <c r="F26" s="145">
        <f>France!F$21+France!F$20+Italy!F$17+Switzerland!F$12</f>
        <v>17331</v>
      </c>
      <c r="G26" s="145">
        <f>France!G$21+France!G$20+Italy!G$17+Switzerland!G$12</f>
        <v>23459.9</v>
      </c>
      <c r="H26" s="38">
        <f>France!H$21+France!H$20+Italy!H$17+Switzerland!H$12</f>
        <v>5944</v>
      </c>
      <c r="I26" s="38">
        <f>France!I$21+France!I$20+Italy!I$17+Switzerland!I$12</f>
        <v>17452.9</v>
      </c>
      <c r="J26" s="38">
        <f>France!J$21+France!J$20+Italy!J$17+Switzerland!J$12</f>
        <v>18998.9</v>
      </c>
      <c r="K26" s="38">
        <f>France!K$21+France!K$20+Italy!K$17+Switzerland!K$12</f>
        <v>18444</v>
      </c>
      <c r="L26" s="38">
        <f>France!L$21+France!L$20+Italy!L$17+Switzerland!L$12</f>
        <v>22113</v>
      </c>
      <c r="M26" s="38">
        <f>France!M$21+France!M$20+Italy!M$17+Switzerland!M$12</f>
        <v>7163</v>
      </c>
      <c r="N26" s="38">
        <f>France!N$21+France!N$20+Italy!N$17+Switzerland!N$12</f>
        <v>17020.813734861626</v>
      </c>
      <c r="O26" s="38">
        <f>France!O$21+France!O$20+Italy!O$17+Switzerland!O$12</f>
        <v>18912</v>
      </c>
      <c r="P26" s="38">
        <f>France!P$21+France!P$20+Italy!P$17+Switzerland!P$12</f>
        <v>16711.91</v>
      </c>
      <c r="Q26" s="65">
        <f>France!Q$21+France!Q$20+Italy!Q$17+Switzerland!Q$12</f>
        <v>4488.5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1:17" ht="12.75">
      <c r="A27" s="40" t="s">
        <v>89</v>
      </c>
      <c r="B27" s="101">
        <f t="shared" si="0"/>
        <v>0.3494658385093168</v>
      </c>
      <c r="C27" s="129">
        <f>E27-'[1]EU - variety'!E27</f>
        <v>-20356</v>
      </c>
      <c r="D27" s="38">
        <f>F27-'[1]EU - variety'!F27</f>
        <v>-20124</v>
      </c>
      <c r="E27" s="43">
        <f>'Czech Republic'!E$9+Germany!E$17+Poland!E$15</f>
        <v>81474</v>
      </c>
      <c r="F27" s="145">
        <f>'Czech Republic'!F$9+Germany!F$17+Poland!F$15</f>
        <v>60375</v>
      </c>
      <c r="G27" s="145">
        <f>'Czech Republic'!G$9+Germany!G$17+Poland!G$15</f>
        <v>131408</v>
      </c>
      <c r="H27" s="38">
        <f>'Czech Republic'!H$9+Germany!H$17+Poland!H$15</f>
        <v>60370</v>
      </c>
      <c r="I27" s="38">
        <f>'Czech Republic'!I$9+Germany!I$17+Poland!I$15</f>
        <v>111929</v>
      </c>
      <c r="J27" s="38">
        <f>'Czech Republic'!J$9+Germany!J$17+Poland!J$15</f>
        <v>112512</v>
      </c>
      <c r="K27" s="38">
        <f>'Czech Republic'!K$9+Germany!K$17+Poland!K$15</f>
        <v>102032</v>
      </c>
      <c r="L27" s="38">
        <f>'Czech Republic'!L$9+Germany!L$17+Poland!L$15</f>
        <v>110218</v>
      </c>
      <c r="M27" s="38">
        <f>'Czech Republic'!M$9+Germany!M$17+Poland!M$15</f>
        <v>81900</v>
      </c>
      <c r="N27" s="38">
        <f>'Czech Republic'!N$9+Germany!N$17+Poland!N$15</f>
        <v>81894</v>
      </c>
      <c r="O27" s="38">
        <f>'Czech Republic'!O$9+Germany!O$17+Poland!O$15</f>
        <v>40901</v>
      </c>
      <c r="P27" s="38">
        <f>'Czech Republic'!P$9+Germany!P$17+Poland!P$15</f>
        <v>31036</v>
      </c>
      <c r="Q27" s="65">
        <f>'Czech Republic'!Q$9+Germany!Q$17+Poland!Q$15</f>
        <v>36131</v>
      </c>
    </row>
    <row r="28" spans="1:17" ht="12.75">
      <c r="A28" s="40" t="s">
        <v>21</v>
      </c>
      <c r="B28" s="101"/>
      <c r="C28" s="129">
        <f>E28-'[1]EU - variety'!E28</f>
        <v>0</v>
      </c>
      <c r="D28" s="38">
        <f>F28-'[1]EU - variety'!F28</f>
        <v>0</v>
      </c>
      <c r="E28" s="43">
        <f>Italy!E$18</f>
        <v>0</v>
      </c>
      <c r="F28" s="145">
        <f>Italy!F$18</f>
        <v>0</v>
      </c>
      <c r="G28" s="145">
        <f>Italy!G$18</f>
        <v>2480.05</v>
      </c>
      <c r="H28" s="38">
        <f>Italy!H$18</f>
        <v>1695.01</v>
      </c>
      <c r="I28" s="38">
        <f>Italy!I$18</f>
        <v>6154.400000000001</v>
      </c>
      <c r="J28" s="38">
        <f>Italy!J$18</f>
        <v>6027.4</v>
      </c>
      <c r="K28" s="38">
        <f>Italy!K$18</f>
        <v>6896</v>
      </c>
      <c r="L28" s="38">
        <f>Italy!L$18</f>
        <v>4531</v>
      </c>
      <c r="M28" s="38">
        <f>Italy!M$18</f>
        <v>2000</v>
      </c>
      <c r="N28" s="38">
        <f>Italy!N$18</f>
        <v>5371.752501515796</v>
      </c>
      <c r="O28" s="38">
        <f>Italy!O$18</f>
        <v>0</v>
      </c>
      <c r="P28" s="38">
        <f>Italy!P$18</f>
        <v>3539.44</v>
      </c>
      <c r="Q28" s="65">
        <f>Italy!Q$18</f>
        <v>4640</v>
      </c>
    </row>
    <row r="29" spans="1:17" ht="12.75">
      <c r="A29" s="40" t="s">
        <v>35</v>
      </c>
      <c r="B29" s="101">
        <f t="shared" si="0"/>
        <v>1.9727272727272727</v>
      </c>
      <c r="C29" s="129">
        <f>E29-'[1]EU - variety'!E29</f>
        <v>-57</v>
      </c>
      <c r="D29" s="38">
        <f>F29-'[1]EU - variety'!F29</f>
        <v>-30</v>
      </c>
      <c r="E29" s="43">
        <f>'Czech Republic'!E$10+UK!E$9+Poland!E$16+Denmark!E$17</f>
        <v>327</v>
      </c>
      <c r="F29" s="145">
        <f>'Czech Republic'!F$10+UK!F$9+Poland!F$16+Denmark!F$17</f>
        <v>110</v>
      </c>
      <c r="G29" s="145">
        <f>'Czech Republic'!G$10+UK!G$9+Poland!G$16+Denmark!G$17</f>
        <v>35099</v>
      </c>
      <c r="H29" s="38">
        <f>'Czech Republic'!H$10+UK!H$9+Poland!H$16+Denmark!H$17</f>
        <v>0</v>
      </c>
      <c r="I29" s="38">
        <f>'Czech Republic'!I$10+UK!I$9+Poland!I$16+Denmark!I$17</f>
        <v>11</v>
      </c>
      <c r="J29" s="38">
        <f>'Czech Republic'!J$10+UK!J$9+Poland!J$16+Denmark!J$17</f>
        <v>25</v>
      </c>
      <c r="K29" s="38">
        <f>'Czech Republic'!K$10+UK!K$9+Poland!K$16+Denmark!K$17</f>
        <v>0</v>
      </c>
      <c r="L29" s="38">
        <f>'Czech Republic'!L$10+UK!L$9+Poland!L$16+Denmark!L$17</f>
        <v>0</v>
      </c>
      <c r="M29" s="38">
        <f>'Czech Republic'!M$10+UK!M$9+Poland!M$16+Denmark!M$17</f>
        <v>64</v>
      </c>
      <c r="N29" s="38">
        <f>'Czech Republic'!N$10+UK!N$9+Poland!N$16+Denmark!N$17</f>
        <v>5</v>
      </c>
      <c r="O29" s="38">
        <f>'Czech Republic'!O$10+UK!O$9+Poland!O$16+Denmark!O$17</f>
        <v>2</v>
      </c>
      <c r="P29" s="38">
        <f>'Czech Republic'!P$10+UK!P$9+Poland!P$16+Denmark!P$17</f>
        <v>1058</v>
      </c>
      <c r="Q29" s="65">
        <f>'Czech Republic'!Q$10+UK!Q$9+Poland!Q$16+Denmark!Q$17</f>
        <v>2011</v>
      </c>
    </row>
    <row r="30" spans="1:17" ht="12.75">
      <c r="A30" s="40" t="s">
        <v>124</v>
      </c>
      <c r="B30" s="101">
        <f t="shared" si="0"/>
        <v>0.09227664378508053</v>
      </c>
      <c r="C30" s="129">
        <f>E30-'[1]EU - variety'!E30</f>
        <v>-24255.79999999999</v>
      </c>
      <c r="D30" s="38">
        <f>F30-'[1]EU - variety'!F30</f>
        <v>-7887.919999999998</v>
      </c>
      <c r="E30" s="43">
        <f>Austria!E$6+Denmark!E$18+France!E$2+France!E$24+France!E$17+France!E$15+France!E$13+Switzerland!E$17+UK!E$10+Germany!E$19+Netherlands!E$6</f>
        <v>90482.1</v>
      </c>
      <c r="F30" s="145">
        <f>Austria!F$6+Denmark!F$18+France!F$2+France!F$24+France!F$17+France!F$15+France!F$13+Switzerland!F$17+UK!F$10+Germany!F$19+Netherlands!F$6</f>
        <v>82838.08</v>
      </c>
      <c r="G30" s="145">
        <f>Austria!G$6+Denmark!G$18+France!G$2+France!G$24+France!G$17+France!G$15+France!G$13+Switzerland!G$17+UK!G$10+Germany!G$19+Netherlands!G$6</f>
        <v>94232.15</v>
      </c>
      <c r="H30" s="38">
        <f>Austria!H$6+Denmark!H$18+France!H$2+France!H$24+France!H$17+France!H$15+France!H$13+Switzerland!H$17+UK!H$10+Germany!H$19+Netherlands!H$6</f>
        <v>53173</v>
      </c>
      <c r="I30" s="38">
        <f>Austria!I$6+Denmark!I$18+France!I$2+France!I$24+France!I$17+France!I$15+France!I$13+Switzerland!I$17+UK!I$10+Germany!I$19+Netherlands!I$6</f>
        <v>71557.75</v>
      </c>
      <c r="J30" s="38">
        <f>Austria!J$6+Denmark!J$18+France!J$2+France!J$24+France!J$17+France!J$15+France!J$13+Switzerland!J$17+UK!J$10+Germany!J$19+Netherlands!J$6</f>
        <v>73064</v>
      </c>
      <c r="K30" s="38">
        <f>Austria!K$6+Denmark!K$18+France!K$2+France!K$24+France!K$17+France!K$15+France!K$13+Switzerland!K$17+UK!K$10+Germany!K$19+Netherlands!K$6</f>
        <v>78703.45</v>
      </c>
      <c r="L30" s="38">
        <f>Austria!L$6+Denmark!L$18+France!L$2+France!L$24+France!L$17+France!L$15+France!L$13+Switzerland!L$17+UK!L$10+Germany!L$19+Netherlands!L$6</f>
        <v>66584.35</v>
      </c>
      <c r="M30" s="38">
        <f>Austria!M$6+Denmark!M$18+France!M$2+France!M$24+France!M$17+France!M$15+France!M$13+Switzerland!M$17+UK!M$10+Germany!M$19+Netherlands!M$6</f>
        <v>32597.2</v>
      </c>
      <c r="N30" s="38">
        <f>Austria!N$6+Denmark!N$18+France!N$2+France!N$24+France!N$17+France!N$15+France!N$13+Switzerland!N$17+UK!N$10+Germany!N$19+Netherlands!N$6</f>
        <v>36909.7</v>
      </c>
      <c r="O30" s="38">
        <f>Austria!O$6+Denmark!O$18+France!O$2+France!O$24+France!O$17+France!O$15+France!O$13+Switzerland!O$17+UK!O$10+Germany!O$19+Netherlands!O$6</f>
        <v>29269</v>
      </c>
      <c r="P30" s="38">
        <f>Austria!P$6+Denmark!P$18+France!P$2+France!P$24+France!P$17+France!P$15+France!P$13+Switzerland!P$17+UK!P$10+Germany!P$19+Netherlands!P$6</f>
        <v>31958</v>
      </c>
      <c r="Q30" s="65">
        <f>Austria!Q$6+Denmark!Q$18+France!Q$2+France!Q$24+France!Q$17+France!Q$15+France!Q$13+Switzerland!Q$17+UK!Q$10+Germany!Q$19+Netherlands!Q$6</f>
        <v>2718</v>
      </c>
    </row>
    <row r="31" spans="1:19" ht="13.5" thickBot="1">
      <c r="A31" s="40" t="s">
        <v>6</v>
      </c>
      <c r="B31" s="101">
        <f t="shared" si="0"/>
        <v>0.9581644080201737</v>
      </c>
      <c r="C31" s="129">
        <f>E31-'[1]EU - variety'!E31</f>
        <v>-98569.41000000003</v>
      </c>
      <c r="D31" s="38">
        <f>F31-'[1]EU - variety'!F31</f>
        <v>-56379.82999999999</v>
      </c>
      <c r="E31" s="43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360382.33999999997</v>
      </c>
      <c r="F31" s="181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184040.9</v>
      </c>
      <c r="G31" s="181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383831.55</v>
      </c>
      <c r="H31" s="182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168557.48</v>
      </c>
      <c r="I31" s="182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309595.9375</v>
      </c>
      <c r="J31" s="182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310670.1</v>
      </c>
      <c r="K31" s="182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275106.032</v>
      </c>
      <c r="L31" s="182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239685.637</v>
      </c>
      <c r="M31" s="182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215288.53</v>
      </c>
      <c r="N31" s="182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248324.06653613743</v>
      </c>
      <c r="O31" s="182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127904.05676101083</v>
      </c>
      <c r="P31" s="182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141059.84999999998</v>
      </c>
      <c r="Q31" s="65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89757</v>
      </c>
      <c r="S31" s="3"/>
    </row>
    <row r="32" spans="1:17" ht="13.5" thickBot="1">
      <c r="A32" s="39" t="s">
        <v>92</v>
      </c>
      <c r="B32" s="138">
        <f t="shared" si="0"/>
        <v>0.10388133648999212</v>
      </c>
      <c r="C32" s="70">
        <f>E32-'[1]EU - variety'!E32</f>
        <v>-664901.212568976</v>
      </c>
      <c r="D32" s="46">
        <f>F32-'[1]EU - variety'!F32</f>
        <v>-639249.775724161</v>
      </c>
      <c r="E32" s="45">
        <f>SUM(E2:E31)</f>
        <v>2700020.350991146</v>
      </c>
      <c r="F32" s="146">
        <f aca="true" t="shared" si="1" ref="F32:K32">SUM(F2:F31)</f>
        <v>2445933.5091001648</v>
      </c>
      <c r="G32" s="146">
        <f t="shared" si="1"/>
        <v>3083909.849999999</v>
      </c>
      <c r="H32" s="46">
        <f t="shared" si="1"/>
        <v>1781016.04</v>
      </c>
      <c r="I32" s="46">
        <f t="shared" si="1"/>
        <v>2827359.793023898</v>
      </c>
      <c r="J32" s="46">
        <f t="shared" si="1"/>
        <v>2900953.4189999998</v>
      </c>
      <c r="K32" s="46">
        <f t="shared" si="1"/>
        <v>2894683.77320956</v>
      </c>
      <c r="L32" s="46">
        <f aca="true" t="shared" si="2" ref="L32:Q32">SUM(L2:L31)</f>
        <v>2658323.9918866237</v>
      </c>
      <c r="M32" s="46">
        <f t="shared" si="2"/>
        <v>2116076.7440896584</v>
      </c>
      <c r="N32" s="46">
        <f t="shared" si="2"/>
        <v>2584990.705894427</v>
      </c>
      <c r="O32" s="46">
        <f t="shared" si="2"/>
        <v>2147939.1923458953</v>
      </c>
      <c r="P32" s="46">
        <f t="shared" si="2"/>
        <v>2422226.966652923</v>
      </c>
      <c r="Q32" s="86">
        <f t="shared" si="2"/>
        <v>1972468.9</v>
      </c>
    </row>
    <row r="33" ht="12.75">
      <c r="A33" s="52" t="s">
        <v>145</v>
      </c>
    </row>
    <row r="34" spans="2:17" ht="13.5" thickBot="1">
      <c r="B34" s="3"/>
      <c r="C34" s="3"/>
      <c r="D34" s="3"/>
      <c r="E34" s="3"/>
      <c r="F34" s="155"/>
      <c r="G34" s="155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s="52" customFormat="1" ht="13.5" thickBot="1">
      <c r="A35" s="53" t="s">
        <v>91</v>
      </c>
      <c r="B35" s="24" t="s">
        <v>175</v>
      </c>
      <c r="C35" s="49" t="s">
        <v>176</v>
      </c>
      <c r="D35" s="25" t="s">
        <v>170</v>
      </c>
      <c r="E35" s="115">
        <v>44256</v>
      </c>
      <c r="F35" s="147">
        <v>43891</v>
      </c>
      <c r="G35" s="147">
        <v>43525</v>
      </c>
      <c r="H35" s="25">
        <v>43160</v>
      </c>
      <c r="I35" s="25">
        <v>42795</v>
      </c>
      <c r="J35" s="25">
        <v>42430</v>
      </c>
      <c r="K35" s="25">
        <f>K1</f>
        <v>42064</v>
      </c>
      <c r="L35" s="25">
        <v>41699</v>
      </c>
      <c r="M35" s="25">
        <v>41334</v>
      </c>
      <c r="N35" s="25">
        <v>40969</v>
      </c>
      <c r="O35" s="25">
        <v>40603</v>
      </c>
      <c r="P35" s="25">
        <v>40238</v>
      </c>
      <c r="Q35" s="26">
        <v>39873</v>
      </c>
    </row>
    <row r="36" spans="1:17" s="52" customFormat="1" ht="12.75">
      <c r="A36" s="87" t="s">
        <v>104</v>
      </c>
      <c r="B36" s="144"/>
      <c r="C36" s="129">
        <f>E36-'[1]EU - variety'!E36</f>
        <v>-24461.446493621508</v>
      </c>
      <c r="D36" s="145">
        <f>F36-'[1]EU - variety'!F36</f>
        <v>-24378.061257814883</v>
      </c>
      <c r="E36" s="43">
        <f>Italy!E$24</f>
        <v>49577.10776239264</v>
      </c>
      <c r="F36" s="153">
        <f>Italy!F$24</f>
        <v>0</v>
      </c>
      <c r="G36" s="153">
        <f>Italy!G$24</f>
        <v>63971.90559162183</v>
      </c>
      <c r="H36" s="57">
        <f>Italy!H$24</f>
        <v>82765.7457965124</v>
      </c>
      <c r="I36" s="38">
        <f>Italy!I$24</f>
        <v>56635.80844432218</v>
      </c>
      <c r="J36" s="88">
        <f>Italy!J$24</f>
        <v>63566.175721179985</v>
      </c>
      <c r="K36" s="88">
        <f>Italy!K$24</f>
        <v>65796.12928259857</v>
      </c>
      <c r="L36" s="88">
        <f>Italy!L$24</f>
        <v>73948.3762489267</v>
      </c>
      <c r="M36" s="88">
        <f>Italy!M$24</f>
        <v>30464.01314123448</v>
      </c>
      <c r="N36" s="88">
        <f>Italy!N$24</f>
        <v>87525.45502855544</v>
      </c>
      <c r="O36" s="88">
        <f>Italy!O$24</f>
        <v>25464.53642822471</v>
      </c>
      <c r="P36" s="88">
        <f>Italy!P$24</f>
        <v>33070.82653016196</v>
      </c>
      <c r="Q36" s="89">
        <f>Italy!Q$24</f>
        <v>20931</v>
      </c>
    </row>
    <row r="37" spans="1:17" s="52" customFormat="1" ht="12.75">
      <c r="A37" s="54" t="s">
        <v>38</v>
      </c>
      <c r="B37" s="144">
        <f aca="true" t="shared" si="3" ref="B37:B44">(E37-F37)/F37</f>
        <v>-0.1726402491148151</v>
      </c>
      <c r="C37" s="129">
        <f>E37-'[1]EU - variety'!E37</f>
        <v>-1270.5224523666525</v>
      </c>
      <c r="D37" s="145">
        <f>F37-'[1]EU - variety'!F37</f>
        <v>-1257.209528221675</v>
      </c>
      <c r="E37" s="43">
        <f>Spain!E$12</f>
        <v>1439.5018967474025</v>
      </c>
      <c r="F37" s="153">
        <f>Spain!F$12</f>
        <v>1739.8742145811325</v>
      </c>
      <c r="G37" s="153">
        <f>Spain!G$12</f>
        <v>1211</v>
      </c>
      <c r="H37" s="57">
        <f>Spain!H$12</f>
        <v>2105</v>
      </c>
      <c r="I37" s="38">
        <f>Spain!I$12</f>
        <v>2528.39777592101</v>
      </c>
      <c r="J37" s="57">
        <f>Spain!J$12</f>
        <v>954</v>
      </c>
      <c r="K37" s="57">
        <f>Spain!K$12</f>
        <v>1614.3769997815843</v>
      </c>
      <c r="L37" s="57">
        <f>Spain!L$12</f>
        <v>4446.83399177372</v>
      </c>
      <c r="M37" s="57">
        <f>Spain!M$12</f>
        <v>953.4943818389314</v>
      </c>
      <c r="N37" s="57">
        <f>Spain!N$12</f>
        <v>5278.982664625848</v>
      </c>
      <c r="O37" s="57">
        <f>Spain!O$12</f>
        <v>3088.7458971387505</v>
      </c>
      <c r="P37" s="57">
        <f>Spain!P$12</f>
        <v>3773</v>
      </c>
      <c r="Q37" s="67">
        <f>Spain!Q$12</f>
        <v>1783</v>
      </c>
    </row>
    <row r="38" spans="1:17" s="52" customFormat="1" ht="12.75">
      <c r="A38" s="54" t="s">
        <v>39</v>
      </c>
      <c r="B38" s="144">
        <f t="shared" si="3"/>
        <v>0.948976382146491</v>
      </c>
      <c r="C38" s="129">
        <f>E38-'[1]EU - variety'!E38</f>
        <v>-1539.2963535066897</v>
      </c>
      <c r="D38" s="145">
        <f>F38-'[1]EU - variety'!F38</f>
        <v>-2250.041129610535</v>
      </c>
      <c r="E38" s="43">
        <f>Spain!E$13</f>
        <v>3431.3924933450667</v>
      </c>
      <c r="F38" s="153">
        <f>Spain!F$13</f>
        <v>1760.6126604602193</v>
      </c>
      <c r="G38" s="153">
        <f>Spain!G$13</f>
        <v>3402</v>
      </c>
      <c r="H38" s="57">
        <f>Spain!H$13</f>
        <v>5310</v>
      </c>
      <c r="I38" s="38">
        <f>Spain!I$13</f>
        <v>5247.742084920541</v>
      </c>
      <c r="J38" s="57">
        <f>Spain!J$13</f>
        <v>3573</v>
      </c>
      <c r="K38" s="57">
        <f>Spain!K$13</f>
        <v>8110.6676219501705</v>
      </c>
      <c r="L38" s="57">
        <f>Spain!L$13</f>
        <v>6505.151968026735</v>
      </c>
      <c r="M38" s="57">
        <f>Spain!M$13</f>
        <v>4468.618812013108</v>
      </c>
      <c r="N38" s="57">
        <f>Spain!N$13</f>
        <v>8544.732027182179</v>
      </c>
      <c r="O38" s="57">
        <f>Spain!O$13</f>
        <v>14159.694303670278</v>
      </c>
      <c r="P38" s="57">
        <f>Spain!P$13</f>
        <v>12138</v>
      </c>
      <c r="Q38" s="67">
        <f>Spain!Q$13</f>
        <v>5261</v>
      </c>
    </row>
    <row r="39" spans="1:17" s="52" customFormat="1" ht="12.75">
      <c r="A39" s="54" t="s">
        <v>7</v>
      </c>
      <c r="B39" s="144">
        <f t="shared" si="3"/>
        <v>0.3298353651352868</v>
      </c>
      <c r="C39" s="129">
        <f>E39-'[1]EU - variety'!E39</f>
        <v>-96337.6140496824</v>
      </c>
      <c r="D39" s="145">
        <f>F39-'[1]EU - variety'!F39</f>
        <v>-87340.02891705302</v>
      </c>
      <c r="E39" s="43">
        <f>Belgium!E$15+Denmark!E$24+Italy!E$25+Poland!E$22+Spain!E$14+Switzerland!E$24+Netherlands!E$12+UK!E$16+'Czech Republic'!E$16+France!E$32</f>
        <v>333736.20926313195</v>
      </c>
      <c r="F39" s="153">
        <f>Belgium!F$15+Denmark!F$24+Italy!F$25+Poland!F$22+Spain!F$14+Switzerland!F$24+Netherlands!F$12+UK!F$16+'Czech Republic'!F$16+France!F$32</f>
        <v>250960.54595388228</v>
      </c>
      <c r="G39" s="153">
        <f>Belgium!G$15+Denmark!G$24+Italy!G$25+Poland!G$22+Spain!G$14+Switzerland!G$24+Netherlands!G$12+UK!G$16+'Czech Republic'!G$16+France!G$32</f>
        <v>329039.9758245617</v>
      </c>
      <c r="H39" s="57">
        <f>Belgium!H$15+Denmark!H$24+Italy!H$25+Poland!H$22+Spain!H$14+Switzerland!H$24+Netherlands!H$12+UK!H$16+'Czech Republic'!H$16+France!H$32</f>
        <v>270356.9476037286</v>
      </c>
      <c r="I39" s="38">
        <f>Belgium!I$15+Denmark!I$24+Italy!I$25+Poland!I$22+Spain!I$14+Switzerland!I$24+Netherlands!I$12+UK!I$16+'Czech Republic'!I$16+France!I$32</f>
        <v>293291.76650399633</v>
      </c>
      <c r="J39" s="57">
        <f>Belgium!J$15+Denmark!J$24+Italy!J$25+Poland!J$22+Spain!J$14+Switzerland!J$24+Netherlands!J$12+UK!J$16+'Czech Republic'!J$16+France!J$32</f>
        <v>337427.67496278347</v>
      </c>
      <c r="K39" s="57">
        <f>Belgium!K$15+Denmark!K$24+Italy!K$25+Poland!K$22+Spain!K$14+Switzerland!K$24+Netherlands!K$12+UK!K$16+'Czech Republic'!K$16+France!K$32</f>
        <v>309228.97386615525</v>
      </c>
      <c r="L39" s="57">
        <f>Belgium!L$15+Denmark!L$24+Italy!L$25+Poland!L$22+Spain!L$14+Switzerland!L$24+Netherlands!L$12+UK!L$16+'Czech Republic'!L$16+France!L$32</f>
        <v>278868.87917083735</v>
      </c>
      <c r="M39" s="57">
        <f>Belgium!M$15+Denmark!M$24+Italy!M$25+Poland!M$22+Spain!M$14+Switzerland!M$24+Netherlands!M$12+UK!M$16+'Czech Republic'!M$16+France!M$32</f>
        <v>176970.17912148125</v>
      </c>
      <c r="N39" s="57">
        <f>Belgium!N$15+Denmark!N$24+Italy!N$25+Poland!N$22+Spain!N$14+Switzerland!N$24+Netherlands!N$12+UK!N$16+'Czech Republic'!N$16+France!N$32</f>
        <v>298641.76912187424</v>
      </c>
      <c r="O39" s="57">
        <f>Belgium!O$15+Denmark!O$24+Italy!O$25+Poland!O$22+Spain!O$14+Switzerland!O$24+Netherlands!O$12+UK!O$16+'Czech Republic'!O$16+France!O$32</f>
        <v>246746.00869369193</v>
      </c>
      <c r="P39" s="57">
        <f>Belgium!P$15+Denmark!P$24+Italy!P$25+Poland!P$22+Spain!P$14+Switzerland!P$24+Netherlands!P$12+UK!P$16+'Czech Republic'!P$16+France!P$32</f>
        <v>259499.94051723514</v>
      </c>
      <c r="Q39" s="67">
        <f>Belgium!Q$15+Denmark!Q$24+Italy!Q$25+Poland!Q$22+Spain!Q$14+Switzerland!Q$24+Netherlands!Q$12+UK!Q$16+'Czech Republic'!Q$16+France!Q$32</f>
        <v>161826</v>
      </c>
    </row>
    <row r="40" spans="1:17" s="52" customFormat="1" ht="12.75">
      <c r="A40" s="54" t="s">
        <v>93</v>
      </c>
      <c r="B40" s="144">
        <f t="shared" si="3"/>
        <v>7.664192972940523</v>
      </c>
      <c r="C40" s="129">
        <f>E40-'[1]EU - variety'!E40</f>
        <v>-7805.805277564786</v>
      </c>
      <c r="D40" s="145">
        <f>F40-'[1]EU - variety'!F40</f>
        <v>-7145.524609966309</v>
      </c>
      <c r="E40" s="43">
        <f>Belgium!E$16+Italy!E$26+Poland!E$23+Netherlands!E$13+UK!E$17+France!E$33+Denmark!E$25</f>
        <v>4955.918380521979</v>
      </c>
      <c r="F40" s="153">
        <f>Belgium!F$16+Italy!F$26+Poland!F$23+Netherlands!F$13+UK!F$17+France!F$33+Denmark!F$25</f>
        <v>572</v>
      </c>
      <c r="G40" s="153">
        <f>Belgium!G$16+Italy!G$26+Poland!G$23+Netherlands!G$13+UK!G$17+France!G$33+Denmark!G$25</f>
        <v>5799.321294506093</v>
      </c>
      <c r="H40" s="57">
        <f>Belgium!H$16+Italy!H$26+Poland!H$23+Netherlands!H$13+UK!H$17+France!H$33+Denmark!H$25</f>
        <v>1682.5613424476735</v>
      </c>
      <c r="I40" s="38">
        <f>Belgium!I$16+Italy!I$26+Poland!I$23+Netherlands!I$13+UK!I$17+France!I$33+Denmark!I$25</f>
        <v>2801.229786912759</v>
      </c>
      <c r="J40" s="57">
        <f>Belgium!J$16+Italy!J$26+Poland!J$23+Netherlands!J$13+UK!J$17+France!J$33+Denmark!J$25</f>
        <v>5737.257567721163</v>
      </c>
      <c r="K40" s="57">
        <f>Belgium!K$16+Italy!K$26+Poland!K$23+Netherlands!K$13+UK!K$17+France!K$33+Denmark!K$25</f>
        <v>5480.359155618731</v>
      </c>
      <c r="L40" s="57">
        <f>Belgium!L$16+Italy!L$26+Poland!L$23+Netherlands!L$13+UK!L$17+France!L$33+Denmark!L$25</f>
        <v>6062.484817910364</v>
      </c>
      <c r="M40" s="57">
        <f>Belgium!M$16+Italy!M$26+Poland!M$23+Netherlands!M$13+UK!M$17+France!M$33+Denmark!M$25</f>
        <v>886.6793897797454</v>
      </c>
      <c r="N40" s="57">
        <f>Belgium!N$16+Italy!N$26+Poland!N$23+Netherlands!N$13+UK!N$17+France!N$33+Denmark!N$25</f>
        <v>11968.812779541362</v>
      </c>
      <c r="O40" s="57">
        <f>Belgium!O$16+Italy!O$26+Poland!O$23+Netherlands!O$13+UK!O$17+France!O$33+Denmark!O$25</f>
        <v>1587.8603849661736</v>
      </c>
      <c r="P40" s="57">
        <f>Belgium!P$16+Italy!P$26+Poland!P$23+Netherlands!P$13+UK!P$17+France!P$33+Denmark!P$25</f>
        <v>11585.73589977449</v>
      </c>
      <c r="Q40" s="67">
        <f>Belgium!Q$16+Italy!Q$26+Poland!Q$23+Netherlands!Q$13+UK!Q$17+France!Q$33+Denmark!Q$25</f>
        <v>2126</v>
      </c>
    </row>
    <row r="41" spans="1:17" s="52" customFormat="1" ht="12.75">
      <c r="A41" s="54" t="s">
        <v>30</v>
      </c>
      <c r="B41" s="144"/>
      <c r="C41" s="129">
        <f>E41-'[1]EU - variety'!E41</f>
        <v>-4190.1832341430545</v>
      </c>
      <c r="D41" s="145">
        <f>F41-'[1]EU - variety'!F41</f>
        <v>-4735.9795352877745</v>
      </c>
      <c r="E41" s="43">
        <f>Italy!E$27</f>
        <v>13921.610409453058</v>
      </c>
      <c r="F41" s="153">
        <f>Italy!F$27</f>
        <v>0</v>
      </c>
      <c r="G41" s="153">
        <f>Italy!G$27</f>
        <v>9278.716231429176</v>
      </c>
      <c r="H41" s="57">
        <f>Italy!H$27</f>
        <v>11662.43145458616</v>
      </c>
      <c r="I41" s="38">
        <f>Italy!I$27</f>
        <v>7825.822915042118</v>
      </c>
      <c r="J41" s="57">
        <f>Italy!J$27</f>
        <v>16380.43736138309</v>
      </c>
      <c r="K41" s="57">
        <f>Italy!K$27</f>
        <v>5832.126376392991</v>
      </c>
      <c r="L41" s="57">
        <f>Italy!L$27</f>
        <v>21296.53202654039</v>
      </c>
      <c r="M41" s="57">
        <f>Italy!M$27</f>
        <v>7182.867267192909</v>
      </c>
      <c r="N41" s="57">
        <f>Italy!N$27</f>
        <v>16595.353059931193</v>
      </c>
      <c r="O41" s="57">
        <f>Italy!O$27</f>
        <v>5428.271733957789</v>
      </c>
      <c r="P41" s="57">
        <f>Italy!P$27</f>
        <v>16449.308284720573</v>
      </c>
      <c r="Q41" s="67">
        <f>Italy!Q$27</f>
        <v>3441</v>
      </c>
    </row>
    <row r="42" spans="1:17" s="52" customFormat="1" ht="12.75">
      <c r="A42" s="54" t="s">
        <v>147</v>
      </c>
      <c r="B42" s="144">
        <f t="shared" si="3"/>
        <v>-1</v>
      </c>
      <c r="C42" s="129">
        <f>E42-'[1]EU - variety'!E42</f>
        <v>0</v>
      </c>
      <c r="D42" s="145">
        <f>F42-'[1]EU - variety'!F42</f>
        <v>-19528</v>
      </c>
      <c r="E42" s="43">
        <f>Portugal!E$13</f>
        <v>0</v>
      </c>
      <c r="F42" s="173">
        <f>Portugal!F$13</f>
        <v>46875</v>
      </c>
      <c r="G42" s="173">
        <f>Portugal!G$13</f>
        <v>41335</v>
      </c>
      <c r="H42" s="109">
        <f>Portugal!H$13</f>
        <v>36205</v>
      </c>
      <c r="I42" s="38">
        <f>Portugal!I$13</f>
        <v>27028</v>
      </c>
      <c r="J42" s="57">
        <f>Portugal!J$13</f>
        <v>16378</v>
      </c>
      <c r="K42" s="57">
        <f>Portugal!K$13</f>
        <v>41422</v>
      </c>
      <c r="L42" s="57">
        <f>Portugal!L$13</f>
        <v>45904</v>
      </c>
      <c r="M42" s="57">
        <f>Portugal!M$13</f>
        <v>11886</v>
      </c>
      <c r="N42" s="57">
        <f>Portugal!N$13</f>
        <v>35230</v>
      </c>
      <c r="O42" s="57">
        <f>Portugal!O$13</f>
        <v>21516.4</v>
      </c>
      <c r="P42" s="57">
        <f>Portugal!P$13</f>
        <v>45419.69</v>
      </c>
      <c r="Q42" s="67">
        <f>Portugal!Q$13</f>
        <v>22919.7</v>
      </c>
    </row>
    <row r="43" spans="1:17" s="52" customFormat="1" ht="13.5" thickBot="1">
      <c r="A43" s="54" t="s">
        <v>6</v>
      </c>
      <c r="B43" s="144">
        <f t="shared" si="3"/>
        <v>0.6154808206434617</v>
      </c>
      <c r="C43" s="129">
        <f>E43-'[1]EU - variety'!E43</f>
        <v>-19274.92555103601</v>
      </c>
      <c r="D43" s="145">
        <f>F43-'[1]EU - variety'!F43</f>
        <v>-15096.931162114972</v>
      </c>
      <c r="E43" s="43">
        <f>Belgium!E$18+Denmark!E$26+Germany!E$25+Italy!E$28+Poland!E$24+Spain!E$15+Spain!E$16+Switzerland!E$23+Switzerland!E$25+Switzerland!E$26+Switzerland!E$27+Netherlands!E$14+UK!E$18+'Czech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21423.521708224376</v>
      </c>
      <c r="F43" s="183">
        <f>Belgium!F$18+Denmark!F$26+Germany!F$25+Italy!F$28+Poland!F$24+Spain!F$15+Spain!F$16+Switzerland!F$23+Switzerland!F$25+Switzerland!F$26+Switzerland!F$27+Netherlands!F$14+UK!F$18+'Czech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</f>
        <v>13261.390314551169</v>
      </c>
      <c r="G43" s="183">
        <f>Belgium!G$18+Denmark!G$26+Germany!G$25+Italy!G$28+Poland!G$24+Spain!G$15+Spain!G$16+Switzerland!G$23+Switzerland!G$25+Switzerland!G$26+Switzerland!G$27+Netherlands!G$14+UK!G$18+'Czech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21773.704797961836</v>
      </c>
      <c r="H43" s="184">
        <f>Belgium!H$18+Denmark!H$26+Germany!H$25+Italy!H$28+Poland!H$24+Spain!H$15+Spain!H$16+Switzerland!H$23+Switzerland!H$25+Switzerland!H$26+Switzerland!H$27+Netherlands!H$14+UK!H$18+'Czech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9791</v>
      </c>
      <c r="I43" s="38">
        <f>Belgium!I$18+Denmark!I$26+Germany!I$25+Italy!I$28+Poland!I$24+Spain!I$15+Spain!I$16+Switzerland!I$23+Switzerland!I$25+Switzerland!I$26+Switzerland!I$27+Netherlands!I$14+UK!I$18+'Czech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14801.589540433486</v>
      </c>
      <c r="J43" s="184">
        <f>Belgium!J$18+Denmark!J$26+Germany!J$25+Italy!J$28+Poland!J$24+Spain!J$15+Spain!J$16+Switzerland!J$23+Switzerland!J$25+Switzerland!J$26+Switzerland!J$27+Netherlands!J$14+UK!J$18+'Czech Republic'!J$17+'Czech Republic'!J$18+'Czech Republic'!J$19+'Czech Republic'!J$20+France!J$31+France!J$35+France!J$36+France!J$37+France!J$30</f>
        <v>14967.391324687458</v>
      </c>
      <c r="K43" s="184">
        <f>Belgium!K$18+Denmark!K$26+Germany!K$25+Italy!K$28+Poland!K$24+Spain!K$15+Spain!K$16+Switzerland!K$23+Switzerland!K$25+Switzerland!K$26+Switzerland!K$27+Netherlands!K$14+UK!K$18+'Czech Republic'!K$17+'Czech Republic'!K$18+'Czech Republic'!K$19+'Czech Republic'!K$20+France!K$31+France!K$35+France!K$36+France!K$37+France!K$30</f>
        <v>15233.392618596896</v>
      </c>
      <c r="L43" s="184">
        <f>Belgium!L$18+Denmark!L$26+Germany!L$25+Italy!L$28+Poland!L$24+Spain!L$15+Spain!L$16+Switzerland!L$23+Switzerland!L$25+Switzerland!L$26+Switzerland!L$27+Netherlands!L$14+UK!L$18+'Czech Republic'!L$17+'Czech Republic'!L$18+'Czech Republic'!L$19+'Czech Republic'!L$20+France!L$31+France!L$35+France!L$36+France!L$37+France!L$30</f>
        <v>24042.70463326365</v>
      </c>
      <c r="M43" s="184">
        <f>Belgium!M$18+Denmark!M$26+Germany!M$25+Italy!M$28+Poland!M$24+Spain!M$15+Spain!M$16+Switzerland!M$23+Switzerland!M$25+Switzerland!M$26+Switzerland!M$27+Netherlands!M$14+UK!M$18+'Czech Republic'!M$17+'Czech Republic'!M$18+'Czech Republic'!M$19+'Czech Republic'!M$20+France!M$31+France!M$35+France!M$36+France!M$37+France!M$30</f>
        <v>3488.1359308449278</v>
      </c>
      <c r="N43" s="184">
        <f>Belgium!N$18+Denmark!N$26+Germany!N$25+Italy!N$28+Poland!N$24+Spain!N$15+Spain!N$16+Switzerland!N$23+Switzerland!N$25+Switzerland!N$26+Switzerland!N$27+Netherlands!N$14+UK!N$18+'Czech Republic'!N$17+'Czech Republic'!N$18+'Czech Republic'!N$19+'Czech Republic'!N$20+France!N$31+France!N$35+France!N$36+France!N$37+France!N$30</f>
        <v>12647.751022402037</v>
      </c>
      <c r="O43" s="184">
        <f>Belgium!O$18+Denmark!O$26+Germany!O$25+Italy!O$28+Poland!O$24+Spain!O$15+Spain!O$16+Switzerland!O$23+Switzerland!O$25+Switzerland!O$26+Switzerland!O$27+Netherlands!O$14+UK!O$18+'Czech Republic'!O$17+'Czech Republic'!O$18+'Czech Republic'!O$19+'Czech Republic'!O$20+France!O$31+France!O$35+France!O$36+France!O$37+France!O$30</f>
        <v>5601.146613615326</v>
      </c>
      <c r="P43" s="184">
        <f>Belgium!P$18+Denmark!P$26+Germany!P$25+Italy!P$28+Poland!P$24+Spain!P$15+Spain!P$16+Switzerland!P$23+Switzerland!P$25+Switzerland!P$26+Switzerland!P$27+Netherlands!P$14+UK!P$18+'Czech Republic'!P$17+'Czech Republic'!P$18+'Czech Republic'!P$19+'Czech Republic'!P$20+France!P$31+France!P$35+France!P$36+France!P$37+France!P$30</f>
        <v>11139.155378717753</v>
      </c>
      <c r="Q43" s="67">
        <f>Belgium!Q$18+Denmark!Q$26+Germany!Q$25+Italy!Q$28+Poland!Q$24+Spain!Q$15+Spain!Q$16+Switzerland!Q$23+Switzerland!Q$25+Switzerland!Q$26+Switzerland!Q$27+Netherlands!Q$14+UK!Q$18+'Czech Republic'!Q$17+'Czech Republic'!Q$18+'Czech Republic'!Q$19+'Czech Republic'!Q$20+France!Q$31+France!Q$35+France!Q$36+France!Q$37+France!Q$30</f>
        <v>5033</v>
      </c>
    </row>
    <row r="44" spans="1:17" s="52" customFormat="1" ht="13.5" thickBot="1">
      <c r="A44" s="53" t="s">
        <v>92</v>
      </c>
      <c r="B44" s="62">
        <f t="shared" si="3"/>
        <v>0.3595394427547522</v>
      </c>
      <c r="C44" s="70">
        <f>E44-'[1]EU - variety'!E44</f>
        <v>-154879.79341192107</v>
      </c>
      <c r="D44" s="146">
        <f>F44-'[1]EU - variety'!F44</f>
        <v>-161731.77614006912</v>
      </c>
      <c r="E44" s="45">
        <f>SUM(E36:E43)</f>
        <v>428485.2619138165</v>
      </c>
      <c r="F44" s="154">
        <f aca="true" t="shared" si="4" ref="F44:K44">SUM(F36:F43)</f>
        <v>315169.42314347485</v>
      </c>
      <c r="G44" s="154">
        <f t="shared" si="4"/>
        <v>475811.6237400806</v>
      </c>
      <c r="H44" s="80">
        <f t="shared" si="4"/>
        <v>419878.68619727483</v>
      </c>
      <c r="I44" s="80">
        <f t="shared" si="4"/>
        <v>410160.35705154843</v>
      </c>
      <c r="J44" s="80">
        <f t="shared" si="4"/>
        <v>458983.9369377552</v>
      </c>
      <c r="K44" s="80">
        <f t="shared" si="4"/>
        <v>452718.02592109423</v>
      </c>
      <c r="L44" s="80">
        <f aca="true" t="shared" si="5" ref="L44:Q44">SUM(L36:L43)</f>
        <v>461074.9628572789</v>
      </c>
      <c r="M44" s="80">
        <f t="shared" si="5"/>
        <v>236299.9880443854</v>
      </c>
      <c r="N44" s="80">
        <f t="shared" si="5"/>
        <v>476432.85570411227</v>
      </c>
      <c r="O44" s="80">
        <f t="shared" si="5"/>
        <v>323592.664055265</v>
      </c>
      <c r="P44" s="80">
        <f t="shared" si="5"/>
        <v>393075.6566106099</v>
      </c>
      <c r="Q44" s="81">
        <f t="shared" si="5"/>
        <v>223320.7</v>
      </c>
    </row>
    <row r="45" spans="1:7" s="52" customFormat="1" ht="12.75">
      <c r="A45" s="3" t="s">
        <v>162</v>
      </c>
      <c r="F45" s="158"/>
      <c r="G45" s="158"/>
    </row>
    <row r="46" spans="6:7" s="52" customFormat="1" ht="12.75">
      <c r="F46" s="158"/>
      <c r="G46" s="158"/>
    </row>
    <row r="47" spans="6:7" s="52" customFormat="1" ht="12.75">
      <c r="F47" s="158"/>
      <c r="G47" s="158"/>
    </row>
  </sheetData>
  <sheetProtection/>
  <printOptions/>
  <pageMargins left="0.75" right="0.75" top="1" bottom="1" header="0.5" footer="0.5"/>
  <pageSetup fitToHeight="3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D10" sqref="D10"/>
    </sheetView>
  </sheetViews>
  <sheetFormatPr defaultColWidth="8.8515625" defaultRowHeight="12.75"/>
  <cols>
    <col min="1" max="1" width="19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9" width="10.140625" style="0" bestFit="1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72">
        <v>43525</v>
      </c>
      <c r="H1" s="123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20" t="s">
        <v>94</v>
      </c>
      <c r="B2" s="97">
        <f>(E2-F2)/F2</f>
        <v>0.010526740340404992</v>
      </c>
      <c r="C2" s="50">
        <f>E2-'[1]Austria'!E2</f>
        <v>-117</v>
      </c>
      <c r="D2" s="1">
        <f>F2-'[1]Austria'!F2</f>
        <v>-4.1200000000000045</v>
      </c>
      <c r="E2" s="114">
        <v>501.1</v>
      </c>
      <c r="F2" s="148">
        <v>495.88</v>
      </c>
      <c r="G2" s="148">
        <v>663.15</v>
      </c>
      <c r="H2" s="1">
        <f>34+23</f>
        <v>57</v>
      </c>
      <c r="I2" s="1">
        <v>0</v>
      </c>
      <c r="J2" s="1">
        <v>812</v>
      </c>
      <c r="K2" s="1">
        <v>1201.65</v>
      </c>
      <c r="L2" s="1">
        <v>1327</v>
      </c>
      <c r="M2" s="1">
        <v>1098.3</v>
      </c>
      <c r="N2" s="1">
        <v>1743.1</v>
      </c>
      <c r="O2" s="1">
        <v>1944</v>
      </c>
      <c r="P2" s="1">
        <v>1901</v>
      </c>
      <c r="Q2" s="1">
        <v>2983</v>
      </c>
      <c r="R2" s="1">
        <v>2363</v>
      </c>
      <c r="S2" s="29">
        <v>2038</v>
      </c>
    </row>
    <row r="3" spans="1:19" ht="12.75">
      <c r="A3" s="20" t="s">
        <v>4</v>
      </c>
      <c r="B3" s="97"/>
      <c r="C3" s="50">
        <f>E3-'[1]Austria'!E3</f>
        <v>0</v>
      </c>
      <c r="D3" s="1">
        <f>F3-'[1]Austria'!F3</f>
        <v>0</v>
      </c>
      <c r="E3" s="114">
        <v>0</v>
      </c>
      <c r="F3" s="148">
        <v>0</v>
      </c>
      <c r="G3" s="148">
        <v>0</v>
      </c>
      <c r="H3" s="1">
        <v>0</v>
      </c>
      <c r="I3" s="1">
        <v>0</v>
      </c>
      <c r="J3" s="1"/>
      <c r="K3" s="1">
        <v>0</v>
      </c>
      <c r="L3" s="1">
        <v>0</v>
      </c>
      <c r="M3" s="1">
        <v>0</v>
      </c>
      <c r="N3" s="1">
        <v>3.15</v>
      </c>
      <c r="O3" s="1">
        <v>0</v>
      </c>
      <c r="P3" s="1">
        <v>2</v>
      </c>
      <c r="Q3" s="1">
        <v>4</v>
      </c>
      <c r="R3" s="1"/>
      <c r="S3" s="29"/>
    </row>
    <row r="4" spans="1:19" ht="12.75">
      <c r="A4" s="20" t="s">
        <v>11</v>
      </c>
      <c r="B4" s="97">
        <f aca="true" t="shared" si="0" ref="B4:B21">(E4-F4)/F4</f>
        <v>-0.16275385679605303</v>
      </c>
      <c r="C4" s="50">
        <f>E4-'[1]Austria'!E4</f>
        <v>-1278.3999999999996</v>
      </c>
      <c r="D4" s="1">
        <f>F4-'[1]Austria'!F4</f>
        <v>-1493.5600000000004</v>
      </c>
      <c r="E4" s="114">
        <v>5131.85</v>
      </c>
      <c r="F4" s="148">
        <v>6129.44</v>
      </c>
      <c r="G4" s="148">
        <v>10087.25</v>
      </c>
      <c r="H4" s="1">
        <f>2273+383</f>
        <v>2656</v>
      </c>
      <c r="I4" s="82">
        <v>1045.4</v>
      </c>
      <c r="J4" s="1">
        <v>7396</v>
      </c>
      <c r="K4" s="1">
        <v>7811.45</v>
      </c>
      <c r="L4" s="1">
        <v>9014.35</v>
      </c>
      <c r="M4" s="1">
        <v>5293.35</v>
      </c>
      <c r="N4" s="1">
        <v>8762.05</v>
      </c>
      <c r="O4" s="1">
        <v>6506</v>
      </c>
      <c r="P4" s="1">
        <v>10694</v>
      </c>
      <c r="Q4" s="1">
        <v>7502</v>
      </c>
      <c r="R4" s="1">
        <v>4750</v>
      </c>
      <c r="S4" s="29">
        <v>3950</v>
      </c>
    </row>
    <row r="5" spans="1:19" ht="12.75">
      <c r="A5" s="20" t="s">
        <v>2</v>
      </c>
      <c r="B5" s="97">
        <f t="shared" si="0"/>
        <v>0.13867769329954216</v>
      </c>
      <c r="C5" s="50">
        <f>E5-'[1]Austria'!E5</f>
        <v>-479.6999999999998</v>
      </c>
      <c r="D5" s="1">
        <f>F5-'[1]Austria'!F5</f>
        <v>-890.36</v>
      </c>
      <c r="E5" s="114">
        <v>1024.4</v>
      </c>
      <c r="F5" s="148">
        <v>899.64</v>
      </c>
      <c r="G5" s="148">
        <v>3120.75</v>
      </c>
      <c r="H5" s="1">
        <v>27</v>
      </c>
      <c r="I5" s="82">
        <v>0</v>
      </c>
      <c r="J5" s="1">
        <v>1330</v>
      </c>
      <c r="K5" s="1">
        <v>1520.4</v>
      </c>
      <c r="L5" s="1">
        <v>1517.15</v>
      </c>
      <c r="M5" s="1">
        <v>1012.2</v>
      </c>
      <c r="N5" s="1">
        <v>2473.35</v>
      </c>
      <c r="O5" s="1">
        <v>2171</v>
      </c>
      <c r="P5" s="1">
        <v>2473</v>
      </c>
      <c r="Q5" s="1">
        <v>1748</v>
      </c>
      <c r="R5" s="1">
        <v>2297</v>
      </c>
      <c r="S5" s="29">
        <v>3055</v>
      </c>
    </row>
    <row r="6" spans="1:19" ht="12.75">
      <c r="A6" s="40" t="s">
        <v>152</v>
      </c>
      <c r="B6" s="97">
        <f t="shared" si="0"/>
        <v>0.613159653540543</v>
      </c>
      <c r="C6" s="50">
        <f>E6-'[1]Austria'!E6</f>
        <v>-1112.7999999999993</v>
      </c>
      <c r="D6" s="82">
        <f>F6-'[1]Austria'!F6</f>
        <v>-1807.92</v>
      </c>
      <c r="E6" s="119">
        <v>9558.1</v>
      </c>
      <c r="F6" s="148">
        <v>5925.08</v>
      </c>
      <c r="G6" s="148">
        <v>7666.05</v>
      </c>
      <c r="H6" s="1">
        <v>3760</v>
      </c>
      <c r="I6" s="82">
        <v>1800.75</v>
      </c>
      <c r="J6" s="1">
        <v>5350</v>
      </c>
      <c r="K6" s="1">
        <v>4419.45</v>
      </c>
      <c r="L6" s="1">
        <v>2905.35</v>
      </c>
      <c r="M6" s="1">
        <v>1663.2</v>
      </c>
      <c r="N6" s="1">
        <v>1930.7</v>
      </c>
      <c r="O6" s="1"/>
      <c r="P6" s="1"/>
      <c r="Q6" s="1"/>
      <c r="R6" s="1"/>
      <c r="S6" s="29"/>
    </row>
    <row r="7" spans="1:19" ht="12.75">
      <c r="A7" s="20" t="s">
        <v>12</v>
      </c>
      <c r="B7" s="97">
        <f t="shared" si="0"/>
        <v>-0.2459058461251342</v>
      </c>
      <c r="C7" s="50">
        <f>E7-'[1]Austria'!E7</f>
        <v>-335</v>
      </c>
      <c r="D7" s="82">
        <f>F7-'[1]Austria'!F7</f>
        <v>-388.3599999999999</v>
      </c>
      <c r="E7" s="119">
        <v>1293</v>
      </c>
      <c r="F7" s="148">
        <v>1714.64</v>
      </c>
      <c r="G7" s="148">
        <v>2600.3</v>
      </c>
      <c r="H7" s="1">
        <v>968</v>
      </c>
      <c r="I7" s="122">
        <v>187.95</v>
      </c>
      <c r="J7" s="76">
        <v>2158</v>
      </c>
      <c r="K7" s="76">
        <v>2034.6</v>
      </c>
      <c r="L7" s="76">
        <v>1796.05</v>
      </c>
      <c r="M7" s="76">
        <v>1412.65</v>
      </c>
      <c r="N7" s="76">
        <v>2314.25</v>
      </c>
      <c r="O7" s="76">
        <v>338</v>
      </c>
      <c r="P7" s="76">
        <v>2052</v>
      </c>
      <c r="Q7" s="76">
        <v>1141</v>
      </c>
      <c r="R7" s="1">
        <v>1521</v>
      </c>
      <c r="S7" s="29">
        <v>774</v>
      </c>
    </row>
    <row r="8" spans="1:19" ht="12.75">
      <c r="A8" s="20" t="s">
        <v>9</v>
      </c>
      <c r="B8" s="97">
        <f t="shared" si="0"/>
        <v>0.13525287219398557</v>
      </c>
      <c r="C8" s="50">
        <f>E8-'[1]Austria'!E8</f>
        <v>-1894.050000000001</v>
      </c>
      <c r="D8" s="82">
        <f>F8-'[1]Austria'!F8</f>
        <v>-4469.68</v>
      </c>
      <c r="E8" s="119">
        <v>13723.3</v>
      </c>
      <c r="F8" s="148">
        <v>12088.32</v>
      </c>
      <c r="G8" s="148">
        <v>16528.2</v>
      </c>
      <c r="H8" s="1">
        <f>6284+973</f>
        <v>7257</v>
      </c>
      <c r="I8" s="82">
        <v>595.7</v>
      </c>
      <c r="J8" s="1">
        <v>15652</v>
      </c>
      <c r="K8" s="1">
        <v>12174.2</v>
      </c>
      <c r="L8" s="1">
        <v>15764.55</v>
      </c>
      <c r="M8" s="1">
        <v>8214.5</v>
      </c>
      <c r="N8" s="1">
        <v>14415.05</v>
      </c>
      <c r="O8" s="1">
        <v>16976</v>
      </c>
      <c r="P8" s="1">
        <v>11734</v>
      </c>
      <c r="Q8" s="1">
        <v>13096</v>
      </c>
      <c r="R8" s="1">
        <v>9967</v>
      </c>
      <c r="S8" s="29">
        <v>4990</v>
      </c>
    </row>
    <row r="9" spans="1:19" ht="12.75">
      <c r="A9" s="20" t="s">
        <v>14</v>
      </c>
      <c r="B9" s="97"/>
      <c r="C9" s="50">
        <f>E9-'[1]Austria'!E9</f>
        <v>0</v>
      </c>
      <c r="D9" s="82">
        <f>F9-'[1]Austria'!F9</f>
        <v>0</v>
      </c>
      <c r="E9" s="119"/>
      <c r="F9" s="148"/>
      <c r="G9" s="148"/>
      <c r="H9" s="1"/>
      <c r="I9" s="82"/>
      <c r="J9" s="1"/>
      <c r="K9" s="1"/>
      <c r="L9" s="1"/>
      <c r="M9" s="1">
        <v>0</v>
      </c>
      <c r="N9" s="1">
        <v>0</v>
      </c>
      <c r="O9" s="1">
        <v>0</v>
      </c>
      <c r="P9" s="1">
        <v>252</v>
      </c>
      <c r="Q9" s="1">
        <v>41</v>
      </c>
      <c r="R9" s="1">
        <v>7</v>
      </c>
      <c r="S9" s="29">
        <v>140</v>
      </c>
    </row>
    <row r="10" spans="1:19" ht="12.75">
      <c r="A10" s="20" t="s">
        <v>3</v>
      </c>
      <c r="B10" s="97">
        <f t="shared" si="0"/>
        <v>0.3374284220636328</v>
      </c>
      <c r="C10" s="50">
        <f>E10-'[1]Austria'!E10</f>
        <v>-2163.7000000000007</v>
      </c>
      <c r="D10" s="82">
        <f>F10-'[1]Austria'!F10</f>
        <v>-4288.279999999999</v>
      </c>
      <c r="E10" s="119">
        <v>26401.8</v>
      </c>
      <c r="F10" s="148">
        <v>19740.72</v>
      </c>
      <c r="G10" s="148">
        <v>20660.1</v>
      </c>
      <c r="H10" s="1">
        <f>16859+577</f>
        <v>17436</v>
      </c>
      <c r="I10" s="82">
        <v>14669.5</v>
      </c>
      <c r="J10" s="1">
        <v>32338</v>
      </c>
      <c r="K10" s="1">
        <v>41968.6</v>
      </c>
      <c r="L10" s="1">
        <v>27064.5</v>
      </c>
      <c r="M10" s="1">
        <v>32998</v>
      </c>
      <c r="N10" s="1">
        <v>41771.65</v>
      </c>
      <c r="O10" s="1">
        <v>37202</v>
      </c>
      <c r="P10" s="1">
        <v>35703</v>
      </c>
      <c r="Q10" s="1">
        <v>38454</v>
      </c>
      <c r="R10" s="1">
        <v>36322</v>
      </c>
      <c r="S10" s="29">
        <v>30395</v>
      </c>
    </row>
    <row r="11" spans="1:19" ht="12.75">
      <c r="A11" s="20" t="s">
        <v>17</v>
      </c>
      <c r="B11" s="97">
        <f t="shared" si="0"/>
        <v>1.2015107212475633</v>
      </c>
      <c r="C11" s="50">
        <f>E11-'[1]Austria'!E11</f>
        <v>-100.10000000000002</v>
      </c>
      <c r="D11" s="82">
        <f>F11-'[1]Austria'!F11</f>
        <v>-187.92000000000002</v>
      </c>
      <c r="E11" s="119">
        <v>180.7</v>
      </c>
      <c r="F11" s="148">
        <v>82.08</v>
      </c>
      <c r="G11" s="148">
        <v>64.95</v>
      </c>
      <c r="H11" s="1">
        <v>18</v>
      </c>
      <c r="I11" s="122">
        <v>0</v>
      </c>
      <c r="J11" s="76">
        <v>30</v>
      </c>
      <c r="K11" s="76">
        <v>513.45</v>
      </c>
      <c r="L11" s="76">
        <v>100.8</v>
      </c>
      <c r="M11" s="76">
        <v>21</v>
      </c>
      <c r="N11" s="76">
        <v>29.4</v>
      </c>
      <c r="O11" s="76">
        <v>83</v>
      </c>
      <c r="P11" s="76">
        <v>12</v>
      </c>
      <c r="Q11" s="76">
        <v>9</v>
      </c>
      <c r="R11" s="1"/>
      <c r="S11" s="29"/>
    </row>
    <row r="12" spans="1:19" ht="12.75">
      <c r="A12" s="21" t="s">
        <v>10</v>
      </c>
      <c r="B12" s="97">
        <f t="shared" si="0"/>
        <v>-0.06682606887687617</v>
      </c>
      <c r="C12" s="50">
        <f>E12-'[1]Austria'!E12</f>
        <v>-260.65000000000055</v>
      </c>
      <c r="D12" s="82">
        <f>F12-'[1]Austria'!F12</f>
        <v>-306.39999999999964</v>
      </c>
      <c r="E12" s="119">
        <v>4937.049999999999</v>
      </c>
      <c r="F12" s="148">
        <v>5290.6</v>
      </c>
      <c r="G12" s="148">
        <v>9634.65</v>
      </c>
      <c r="H12" s="1">
        <f>2465+151</f>
        <v>2616</v>
      </c>
      <c r="I12" s="122">
        <v>198.5</v>
      </c>
      <c r="J12" s="76">
        <v>14700</v>
      </c>
      <c r="K12" s="76">
        <v>12743.05</v>
      </c>
      <c r="L12" s="76">
        <v>17096.05</v>
      </c>
      <c r="M12" s="76">
        <v>12106.25</v>
      </c>
      <c r="N12" s="76">
        <v>17335.3</v>
      </c>
      <c r="O12" s="76">
        <v>18810</v>
      </c>
      <c r="P12" s="76">
        <v>19428</v>
      </c>
      <c r="Q12" s="76">
        <v>16838</v>
      </c>
      <c r="R12" s="1">
        <v>15468</v>
      </c>
      <c r="S12" s="29">
        <v>18059</v>
      </c>
    </row>
    <row r="13" spans="1:19" ht="12.75">
      <c r="A13" s="21" t="s">
        <v>27</v>
      </c>
      <c r="B13" s="97">
        <f t="shared" si="0"/>
        <v>-0.4898396606702364</v>
      </c>
      <c r="C13" s="50">
        <f>E13-'[1]Austria'!E13</f>
        <v>-115.69999999999982</v>
      </c>
      <c r="D13" s="82">
        <f>F13-'[1]Austria'!F13</f>
        <v>-455.96000000000004</v>
      </c>
      <c r="E13" s="119">
        <v>2035.0500000000002</v>
      </c>
      <c r="F13" s="148">
        <v>3989.04</v>
      </c>
      <c r="G13" s="148">
        <v>6933.8</v>
      </c>
      <c r="H13" s="1">
        <f>1700+147</f>
        <v>1847</v>
      </c>
      <c r="I13" s="122">
        <v>357.25</v>
      </c>
      <c r="J13" s="76">
        <v>6525</v>
      </c>
      <c r="K13" s="76">
        <v>7089.45</v>
      </c>
      <c r="L13" s="76">
        <v>6744.3</v>
      </c>
      <c r="M13" s="76">
        <v>5241.55</v>
      </c>
      <c r="N13" s="76">
        <v>8036.7</v>
      </c>
      <c r="O13" s="76">
        <v>8298</v>
      </c>
      <c r="P13" s="76">
        <v>8932</v>
      </c>
      <c r="Q13" s="76">
        <v>6211</v>
      </c>
      <c r="R13" s="1">
        <v>7311</v>
      </c>
      <c r="S13" s="29">
        <v>7268</v>
      </c>
    </row>
    <row r="14" spans="1:19" ht="12.75">
      <c r="A14" s="20" t="s">
        <v>26</v>
      </c>
      <c r="B14" s="97"/>
      <c r="C14" s="50">
        <f>E14-'[1]Austria'!E14</f>
        <v>0</v>
      </c>
      <c r="D14" s="82">
        <f>F14-'[1]Austria'!F14</f>
        <v>0</v>
      </c>
      <c r="E14" s="119">
        <v>0</v>
      </c>
      <c r="F14" s="148">
        <v>0</v>
      </c>
      <c r="G14" s="148">
        <v>0</v>
      </c>
      <c r="H14" s="1">
        <v>0</v>
      </c>
      <c r="I14" s="122">
        <v>25.2</v>
      </c>
      <c r="J14" s="76">
        <v>2325</v>
      </c>
      <c r="K14" s="76">
        <v>2732.1</v>
      </c>
      <c r="L14" s="76">
        <v>2863.35</v>
      </c>
      <c r="M14" s="76">
        <v>2118.9</v>
      </c>
      <c r="N14" s="76">
        <v>4149.6</v>
      </c>
      <c r="O14" s="76">
        <v>3701</v>
      </c>
      <c r="P14" s="76">
        <v>4633</v>
      </c>
      <c r="Q14" s="76">
        <v>3674</v>
      </c>
      <c r="R14" s="1">
        <v>5054</v>
      </c>
      <c r="S14" s="29">
        <v>4274</v>
      </c>
    </row>
    <row r="15" spans="1:19" ht="12.75">
      <c r="A15" s="20" t="s">
        <v>95</v>
      </c>
      <c r="B15" s="97"/>
      <c r="C15" s="50">
        <f>E15-'[1]Austria'!E15</f>
        <v>-198.15</v>
      </c>
      <c r="D15" s="82">
        <f>F15-'[1]Austria'!F15</f>
        <v>-190</v>
      </c>
      <c r="E15" s="119">
        <v>79.9</v>
      </c>
      <c r="F15" s="148">
        <v>0</v>
      </c>
      <c r="G15" s="148">
        <v>4.1</v>
      </c>
      <c r="H15" s="1">
        <v>0</v>
      </c>
      <c r="I15" s="122">
        <v>0</v>
      </c>
      <c r="J15" s="76"/>
      <c r="K15" s="76">
        <v>2.1</v>
      </c>
      <c r="L15" s="76">
        <v>3.15</v>
      </c>
      <c r="M15" s="76">
        <v>5.25</v>
      </c>
      <c r="N15" s="76">
        <v>29.15</v>
      </c>
      <c r="O15" s="76">
        <v>5</v>
      </c>
      <c r="P15" s="76">
        <v>1</v>
      </c>
      <c r="Q15" s="76">
        <v>0</v>
      </c>
      <c r="R15" s="1">
        <v>17</v>
      </c>
      <c r="S15" s="29">
        <v>29</v>
      </c>
    </row>
    <row r="16" spans="1:19" ht="12.75">
      <c r="A16" s="20" t="s">
        <v>13</v>
      </c>
      <c r="B16" s="97">
        <f t="shared" si="0"/>
        <v>-0.267876052644849</v>
      </c>
      <c r="C16" s="50">
        <f>E16-'[1]Austria'!E16</f>
        <v>-149.55000000000007</v>
      </c>
      <c r="D16" s="82">
        <f>F16-'[1]Austria'!F16</f>
        <v>-48.75999999999999</v>
      </c>
      <c r="E16" s="119">
        <v>580.75</v>
      </c>
      <c r="F16" s="148">
        <v>793.24</v>
      </c>
      <c r="G16" s="148">
        <v>1327.8</v>
      </c>
      <c r="H16" s="1">
        <f>285+21</f>
        <v>306</v>
      </c>
      <c r="I16" s="122">
        <v>245.3</v>
      </c>
      <c r="J16" s="76">
        <v>1007</v>
      </c>
      <c r="K16" s="76">
        <v>920.4</v>
      </c>
      <c r="L16" s="76">
        <v>1471.5</v>
      </c>
      <c r="M16" s="76">
        <v>1132.95</v>
      </c>
      <c r="N16" s="76">
        <v>1311.45</v>
      </c>
      <c r="O16" s="76">
        <v>1669</v>
      </c>
      <c r="P16" s="76">
        <v>1856</v>
      </c>
      <c r="Q16" s="76">
        <v>1772</v>
      </c>
      <c r="R16" s="1">
        <v>951</v>
      </c>
      <c r="S16" s="29">
        <v>879</v>
      </c>
    </row>
    <row r="17" spans="1:19" ht="12.75">
      <c r="A17" s="40" t="s">
        <v>134</v>
      </c>
      <c r="B17" s="97">
        <f t="shared" si="0"/>
        <v>-0.11457760573602839</v>
      </c>
      <c r="C17" s="50">
        <f>E17-'[1]Austria'!E17</f>
        <v>-18.200000000000045</v>
      </c>
      <c r="D17" s="82">
        <f>F17-'[1]Austria'!F17</f>
        <v>-111.31999999999994</v>
      </c>
      <c r="E17" s="119">
        <v>1610.3</v>
      </c>
      <c r="F17" s="148">
        <v>1818.68</v>
      </c>
      <c r="G17" s="148">
        <v>1587.6</v>
      </c>
      <c r="H17" s="1">
        <v>335</v>
      </c>
      <c r="I17" s="122"/>
      <c r="J17" s="76"/>
      <c r="K17" s="76"/>
      <c r="L17" s="76"/>
      <c r="M17" s="76"/>
      <c r="N17" s="76"/>
      <c r="O17" s="76"/>
      <c r="P17" s="76"/>
      <c r="Q17" s="76"/>
      <c r="R17" s="1"/>
      <c r="S17" s="29"/>
    </row>
    <row r="18" spans="1:19" ht="12.75">
      <c r="A18" s="40" t="s">
        <v>116</v>
      </c>
      <c r="B18" s="97"/>
      <c r="C18" s="50">
        <f>E18-'[1]Austria'!E18</f>
        <v>-29.9</v>
      </c>
      <c r="D18" s="82">
        <f>F18-'[1]Austria'!F18</f>
        <v>0</v>
      </c>
      <c r="E18" s="119">
        <v>3.9</v>
      </c>
      <c r="F18" s="148">
        <v>0</v>
      </c>
      <c r="G18" s="148">
        <v>12.6</v>
      </c>
      <c r="H18" s="1">
        <v>0</v>
      </c>
      <c r="I18" s="82">
        <v>0</v>
      </c>
      <c r="J18" s="1"/>
      <c r="K18" s="1">
        <v>0</v>
      </c>
      <c r="L18" s="1">
        <v>1.05</v>
      </c>
      <c r="M18" s="1">
        <v>0</v>
      </c>
      <c r="N18" s="1">
        <v>59</v>
      </c>
      <c r="O18" s="1">
        <v>11</v>
      </c>
      <c r="P18" s="1">
        <v>131</v>
      </c>
      <c r="Q18" s="1">
        <v>53</v>
      </c>
      <c r="R18" s="1">
        <v>105</v>
      </c>
      <c r="S18" s="29">
        <v>43</v>
      </c>
    </row>
    <row r="19" spans="1:19" ht="12.75">
      <c r="A19" s="20" t="s">
        <v>96</v>
      </c>
      <c r="B19" s="97">
        <f t="shared" si="0"/>
        <v>-0.6905236455879687</v>
      </c>
      <c r="C19" s="50">
        <f>E19-'[1]Austria'!E19</f>
        <v>-372.80000000000007</v>
      </c>
      <c r="D19" s="82">
        <f>F19-'[1]Austria'!F19</f>
        <v>-505.20000000000005</v>
      </c>
      <c r="E19" s="119">
        <v>341.6</v>
      </c>
      <c r="F19" s="148">
        <v>1103.8</v>
      </c>
      <c r="G19" s="148">
        <v>4118.2</v>
      </c>
      <c r="H19" s="1">
        <v>0</v>
      </c>
      <c r="I19" s="1">
        <v>20</v>
      </c>
      <c r="J19" s="1">
        <v>3275</v>
      </c>
      <c r="K19" s="1">
        <v>2691.75</v>
      </c>
      <c r="L19" s="1">
        <v>2795.5</v>
      </c>
      <c r="M19" s="1">
        <v>1113.6</v>
      </c>
      <c r="N19" s="1">
        <v>3085.4</v>
      </c>
      <c r="O19" s="1">
        <v>2086</v>
      </c>
      <c r="P19" s="1">
        <v>3296</v>
      </c>
      <c r="Q19" s="1">
        <v>16</v>
      </c>
      <c r="R19" s="1"/>
      <c r="S19" s="29"/>
    </row>
    <row r="20" spans="1:19" ht="13.5" thickBot="1">
      <c r="A20" s="22" t="s">
        <v>59</v>
      </c>
      <c r="B20" s="97">
        <f t="shared" si="0"/>
        <v>0.7683662432747242</v>
      </c>
      <c r="C20" s="50">
        <f>E20-'[1]Austria'!E20</f>
        <v>-131.0999999999999</v>
      </c>
      <c r="D20" s="10">
        <f>F20-'[1]Austria'!F20</f>
        <v>-172.68000000000006</v>
      </c>
      <c r="E20" s="116">
        <v>2550.55</v>
      </c>
      <c r="F20" s="149">
        <v>1442.32</v>
      </c>
      <c r="G20" s="149">
        <v>1732.8</v>
      </c>
      <c r="H20" s="10">
        <f>58+138</f>
        <v>196</v>
      </c>
      <c r="I20" s="77">
        <v>283</v>
      </c>
      <c r="J20" s="77">
        <v>294</v>
      </c>
      <c r="K20" s="77">
        <v>367</v>
      </c>
      <c r="L20" s="77">
        <v>1540.2</v>
      </c>
      <c r="M20" s="77">
        <v>266.15</v>
      </c>
      <c r="N20" s="77">
        <v>459.75</v>
      </c>
      <c r="O20" s="77">
        <v>2089</v>
      </c>
      <c r="P20" s="77">
        <v>298</v>
      </c>
      <c r="Q20" s="77">
        <v>64</v>
      </c>
      <c r="R20" s="10">
        <v>137</v>
      </c>
      <c r="S20" s="31">
        <v>349</v>
      </c>
    </row>
    <row r="21" spans="1:19" ht="13.5" thickBot="1">
      <c r="A21" s="32" t="s">
        <v>23</v>
      </c>
      <c r="B21" s="111">
        <f t="shared" si="0"/>
        <v>0.13720358529545074</v>
      </c>
      <c r="C21" s="70">
        <f>E21-'[1]Austria'!E21</f>
        <v>-8756.799999999988</v>
      </c>
      <c r="D21" s="34">
        <f>F21-'[1]Austria'!F21</f>
        <v>-15320.519999999997</v>
      </c>
      <c r="E21" s="117">
        <f aca="true" t="shared" si="1" ref="E21:J21">SUM(E2:E20)</f>
        <v>69953.35</v>
      </c>
      <c r="F21" s="150">
        <f t="shared" si="1"/>
        <v>61513.48</v>
      </c>
      <c r="G21" s="150">
        <f t="shared" si="1"/>
        <v>86742.30000000002</v>
      </c>
      <c r="H21" s="34">
        <f t="shared" si="1"/>
        <v>37479</v>
      </c>
      <c r="I21" s="34">
        <f t="shared" si="1"/>
        <v>19428.55</v>
      </c>
      <c r="J21" s="34">
        <f t="shared" si="1"/>
        <v>93192</v>
      </c>
      <c r="K21" s="34">
        <v>98189.65000000001</v>
      </c>
      <c r="L21" s="34">
        <f>SUM(L2:L20)</f>
        <v>92004.85</v>
      </c>
      <c r="M21" s="34">
        <f>SUM(M2:M20)</f>
        <v>73697.84999999999</v>
      </c>
      <c r="N21" s="34">
        <f aca="true" t="shared" si="2" ref="N21:S21">SUM(N2:N20)</f>
        <v>107909.04999999999</v>
      </c>
      <c r="O21" s="34">
        <f t="shared" si="2"/>
        <v>101889</v>
      </c>
      <c r="P21" s="34">
        <f t="shared" si="2"/>
        <v>103398</v>
      </c>
      <c r="Q21" s="34">
        <f t="shared" si="2"/>
        <v>93606</v>
      </c>
      <c r="R21" s="34">
        <f t="shared" si="2"/>
        <v>86270</v>
      </c>
      <c r="S21" s="35">
        <f t="shared" si="2"/>
        <v>76243</v>
      </c>
    </row>
    <row r="22" spans="2:9" ht="12.75">
      <c r="B22" s="36"/>
      <c r="C22" s="36"/>
      <c r="D22" s="36"/>
      <c r="E22" s="36"/>
      <c r="F22" s="151"/>
      <c r="G22" s="151"/>
      <c r="H22" s="36"/>
      <c r="I22" s="36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6"/>
      <c r="S37" s="1"/>
      <c r="T37" s="1"/>
    </row>
    <row r="38" spans="18:20" ht="18">
      <c r="R38" s="7"/>
      <c r="S38" s="2"/>
      <c r="T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E17" sqref="E17"/>
    </sheetView>
  </sheetViews>
  <sheetFormatPr defaultColWidth="8.8515625" defaultRowHeight="12.75"/>
  <cols>
    <col min="1" max="1" width="19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9" width="10.140625" style="0" bestFit="1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20" t="s">
        <v>4</v>
      </c>
      <c r="B2" s="27">
        <f>(E2-F2)/F2</f>
        <v>10.648148148148149</v>
      </c>
      <c r="C2" s="50">
        <f>E2-'[1]Belgium'!E2</f>
        <v>-618</v>
      </c>
      <c r="D2" s="1">
        <f>F2-'[1]Belgium'!F2</f>
        <v>-36</v>
      </c>
      <c r="E2" s="114">
        <v>1887</v>
      </c>
      <c r="F2" s="148">
        <v>162</v>
      </c>
      <c r="G2" s="148">
        <v>2459</v>
      </c>
      <c r="H2" s="1">
        <v>0</v>
      </c>
      <c r="I2" s="1">
        <v>150</v>
      </c>
      <c r="J2" s="1">
        <v>2532</v>
      </c>
      <c r="K2" s="1">
        <v>1840</v>
      </c>
      <c r="L2" s="1">
        <v>862</v>
      </c>
      <c r="M2" s="1">
        <v>0</v>
      </c>
      <c r="N2" s="1">
        <v>100</v>
      </c>
      <c r="O2" s="1">
        <v>0</v>
      </c>
      <c r="P2" s="1">
        <v>0</v>
      </c>
      <c r="Q2" s="1">
        <v>1000</v>
      </c>
      <c r="R2" s="1">
        <v>5000</v>
      </c>
      <c r="S2" s="29">
        <v>2900</v>
      </c>
    </row>
    <row r="3" spans="1:19" ht="12.75">
      <c r="A3" s="20" t="s">
        <v>101</v>
      </c>
      <c r="B3" s="27"/>
      <c r="C3" s="50">
        <f>E3-'[1]Belgium'!E3</f>
        <v>0</v>
      </c>
      <c r="D3" s="1">
        <f>F3-'[1]Belgium'!F3</f>
        <v>0</v>
      </c>
      <c r="E3" s="114"/>
      <c r="F3" s="148"/>
      <c r="G3" s="148"/>
      <c r="H3" s="1">
        <v>0</v>
      </c>
      <c r="I3" s="1"/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700</v>
      </c>
      <c r="S3" s="29">
        <v>150</v>
      </c>
    </row>
    <row r="4" spans="1:19" ht="12.75">
      <c r="A4" s="20" t="s">
        <v>2</v>
      </c>
      <c r="B4" s="27">
        <f aca="true" t="shared" si="0" ref="B4:B10">(E4-F4)/F4</f>
        <v>-0.9715639810426541</v>
      </c>
      <c r="C4" s="50">
        <f>E4-'[1]Belgium'!E4</f>
        <v>-2</v>
      </c>
      <c r="D4" s="1">
        <f>F4-'[1]Belgium'!F4</f>
        <v>-93</v>
      </c>
      <c r="E4" s="114">
        <v>6</v>
      </c>
      <c r="F4" s="148">
        <v>211</v>
      </c>
      <c r="G4" s="148">
        <v>1446</v>
      </c>
      <c r="H4" s="1">
        <v>15</v>
      </c>
      <c r="I4" s="1">
        <v>20</v>
      </c>
      <c r="J4" s="1">
        <v>490</v>
      </c>
      <c r="K4" s="1">
        <v>1650</v>
      </c>
      <c r="L4" s="1">
        <v>412</v>
      </c>
      <c r="M4" s="1">
        <v>135</v>
      </c>
      <c r="N4" s="1">
        <v>140</v>
      </c>
      <c r="O4" s="1">
        <v>164</v>
      </c>
      <c r="P4" s="1">
        <v>0</v>
      </c>
      <c r="Q4" s="1">
        <v>0</v>
      </c>
      <c r="R4" s="1">
        <v>1500</v>
      </c>
      <c r="S4" s="29">
        <v>0</v>
      </c>
    </row>
    <row r="5" spans="1:19" ht="12.75">
      <c r="A5" s="20" t="s">
        <v>102</v>
      </c>
      <c r="B5" s="27"/>
      <c r="C5" s="50">
        <f>E5-'[1]Belgium'!E5</f>
        <v>0</v>
      </c>
      <c r="D5" s="1">
        <f>F5-'[1]Belgium'!F5</f>
        <v>0</v>
      </c>
      <c r="E5" s="114"/>
      <c r="F5" s="148"/>
      <c r="G5" s="14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9">
        <v>700</v>
      </c>
    </row>
    <row r="6" spans="1:19" ht="12.75">
      <c r="A6" s="20" t="s">
        <v>3</v>
      </c>
      <c r="B6" s="27">
        <f t="shared" si="0"/>
        <v>-0.5923235775831375</v>
      </c>
      <c r="C6" s="50">
        <f>E6-'[1]Belgium'!E6</f>
        <v>-1232</v>
      </c>
      <c r="D6" s="1">
        <f>F6-'[1]Belgium'!F6</f>
        <v>-1750</v>
      </c>
      <c r="E6" s="114">
        <v>5725</v>
      </c>
      <c r="F6" s="148">
        <v>14043</v>
      </c>
      <c r="G6" s="148">
        <v>8643</v>
      </c>
      <c r="H6" s="1">
        <v>6527</v>
      </c>
      <c r="I6" s="1">
        <v>9675</v>
      </c>
      <c r="J6" s="1">
        <v>15556</v>
      </c>
      <c r="K6" s="1">
        <v>13584</v>
      </c>
      <c r="L6" s="1">
        <v>12665</v>
      </c>
      <c r="M6" s="1">
        <v>9531</v>
      </c>
      <c r="N6" s="1">
        <v>10300</v>
      </c>
      <c r="O6" s="1">
        <v>6483.871028519899</v>
      </c>
      <c r="P6" s="1">
        <v>16816</v>
      </c>
      <c r="Q6" s="1">
        <v>10300</v>
      </c>
      <c r="R6" s="1">
        <v>13100</v>
      </c>
      <c r="S6" s="29">
        <v>14100</v>
      </c>
    </row>
    <row r="7" spans="1:19" ht="12.75">
      <c r="A7" s="21" t="s">
        <v>27</v>
      </c>
      <c r="B7" s="27">
        <f t="shared" si="0"/>
        <v>-0.3699495846055528</v>
      </c>
      <c r="C7" s="50">
        <f>E7-'[1]Belgium'!E7</f>
        <v>-4317</v>
      </c>
      <c r="D7" s="1">
        <f>F7-'[1]Belgium'!F7</f>
        <v>-6709</v>
      </c>
      <c r="E7" s="114">
        <v>26619</v>
      </c>
      <c r="F7" s="148">
        <v>42249</v>
      </c>
      <c r="G7" s="148">
        <v>38222</v>
      </c>
      <c r="H7" s="1">
        <v>2566</v>
      </c>
      <c r="I7" s="76">
        <v>29196</v>
      </c>
      <c r="J7" s="76">
        <v>53549</v>
      </c>
      <c r="K7" s="76">
        <v>65039</v>
      </c>
      <c r="L7" s="76">
        <v>35450</v>
      </c>
      <c r="M7" s="76">
        <v>29042</v>
      </c>
      <c r="N7" s="76">
        <v>34870</v>
      </c>
      <c r="O7" s="76">
        <v>43727.107804043306</v>
      </c>
      <c r="P7" s="76">
        <v>65397</v>
      </c>
      <c r="Q7" s="76">
        <v>90500</v>
      </c>
      <c r="R7" s="1">
        <v>72300</v>
      </c>
      <c r="S7" s="29">
        <v>86400</v>
      </c>
    </row>
    <row r="8" spans="1:19" ht="12.75">
      <c r="A8" s="20" t="s">
        <v>26</v>
      </c>
      <c r="B8" s="27">
        <f t="shared" si="0"/>
        <v>-0.6351341604154646</v>
      </c>
      <c r="C8" s="50">
        <f>E8-'[1]Belgium'!E8</f>
        <v>-1005</v>
      </c>
      <c r="D8" s="1">
        <f>F8-'[1]Belgium'!F8</f>
        <v>-3368</v>
      </c>
      <c r="E8" s="114">
        <v>10117</v>
      </c>
      <c r="F8" s="148">
        <v>27728</v>
      </c>
      <c r="G8" s="148">
        <v>31994</v>
      </c>
      <c r="H8" s="1">
        <v>852</v>
      </c>
      <c r="I8" s="76">
        <v>19919</v>
      </c>
      <c r="J8" s="76">
        <v>24509</v>
      </c>
      <c r="K8" s="76">
        <v>37769</v>
      </c>
      <c r="L8" s="76">
        <v>15857</v>
      </c>
      <c r="M8" s="76">
        <v>18252</v>
      </c>
      <c r="N8" s="76">
        <v>23000</v>
      </c>
      <c r="O8" s="76">
        <v>15714.684931768952</v>
      </c>
      <c r="P8" s="76">
        <v>24425</v>
      </c>
      <c r="Q8" s="76">
        <v>29800</v>
      </c>
      <c r="R8" s="1">
        <v>30500</v>
      </c>
      <c r="S8" s="29">
        <v>28800</v>
      </c>
    </row>
    <row r="9" spans="1:19" ht="13.5" thickBot="1">
      <c r="A9" s="22" t="s">
        <v>59</v>
      </c>
      <c r="B9" s="28">
        <f t="shared" si="0"/>
        <v>1.7614634146341464</v>
      </c>
      <c r="C9" s="50">
        <f>E9-'[1]Belgium'!E9</f>
        <v>-1391</v>
      </c>
      <c r="D9" s="10">
        <f>F9-'[1]Belgium'!F9</f>
        <v>-2766</v>
      </c>
      <c r="E9" s="116">
        <v>16983</v>
      </c>
      <c r="F9" s="149">
        <v>6150</v>
      </c>
      <c r="G9" s="149">
        <v>16624</v>
      </c>
      <c r="H9" s="10">
        <v>2685</v>
      </c>
      <c r="I9" s="77">
        <v>849</v>
      </c>
      <c r="J9" s="77">
        <v>16729</v>
      </c>
      <c r="K9" s="77">
        <v>9349</v>
      </c>
      <c r="L9" s="77">
        <v>7998</v>
      </c>
      <c r="M9" s="77">
        <v>5709</v>
      </c>
      <c r="N9" s="77">
        <v>9000</v>
      </c>
      <c r="O9" s="77">
        <v>11915.566761010828</v>
      </c>
      <c r="P9" s="77">
        <v>7375</v>
      </c>
      <c r="Q9" s="77">
        <v>19300</v>
      </c>
      <c r="R9" s="10">
        <v>18700</v>
      </c>
      <c r="S9" s="31">
        <v>2350</v>
      </c>
    </row>
    <row r="10" spans="1:19" ht="13.5" thickBot="1">
      <c r="A10" s="32" t="s">
        <v>23</v>
      </c>
      <c r="B10" s="33">
        <f t="shared" si="0"/>
        <v>-0.32256496913068927</v>
      </c>
      <c r="C10" s="70">
        <f>E10-'[1]Belgium'!E10</f>
        <v>-8565</v>
      </c>
      <c r="D10" s="34">
        <f>F10-'[1]Belgium'!F10</f>
        <v>-14722</v>
      </c>
      <c r="E10" s="117">
        <f>SUM(E2:E9)</f>
        <v>61337</v>
      </c>
      <c r="F10" s="150">
        <f>SUM(F2:F9)</f>
        <v>90543</v>
      </c>
      <c r="G10" s="150">
        <f>SUM(G2:G9)</f>
        <v>99388</v>
      </c>
      <c r="H10" s="34">
        <f>SUM(H2:H9)</f>
        <v>12645</v>
      </c>
      <c r="I10" s="34">
        <v>59809</v>
      </c>
      <c r="J10" s="34">
        <v>113365</v>
      </c>
      <c r="K10" s="34">
        <v>129231</v>
      </c>
      <c r="L10" s="34">
        <v>73244</v>
      </c>
      <c r="M10" s="34">
        <v>62669</v>
      </c>
      <c r="N10" s="34">
        <v>77410</v>
      </c>
      <c r="O10" s="34">
        <v>78005.23052534298</v>
      </c>
      <c r="P10" s="34">
        <f>SUM(P2:P9)</f>
        <v>114013</v>
      </c>
      <c r="Q10" s="34">
        <f>SUM(Q2:Q9)</f>
        <v>150900</v>
      </c>
      <c r="R10" s="34">
        <f>SUM(R2:R9)</f>
        <v>141800</v>
      </c>
      <c r="S10" s="35">
        <f>SUM(S2:S9)</f>
        <v>135400</v>
      </c>
    </row>
    <row r="11" spans="1:8" ht="12.75">
      <c r="A11" t="s">
        <v>103</v>
      </c>
      <c r="B11" s="36"/>
      <c r="C11" s="36"/>
      <c r="D11" s="36"/>
      <c r="E11" s="36"/>
      <c r="F11" s="151"/>
      <c r="G11" s="151"/>
      <c r="H11" s="36"/>
    </row>
    <row r="12" spans="1:8" ht="12.75">
      <c r="A12" s="52" t="s">
        <v>160</v>
      </c>
      <c r="B12" s="36"/>
      <c r="C12" s="36"/>
      <c r="D12" s="36"/>
      <c r="E12" s="36"/>
      <c r="F12" s="151"/>
      <c r="G12" s="151"/>
      <c r="H12" s="36"/>
    </row>
    <row r="13" spans="2:8" ht="13.5" thickBot="1">
      <c r="B13" s="36"/>
      <c r="C13" s="36"/>
      <c r="D13" s="36"/>
      <c r="E13" s="36"/>
      <c r="F13" s="151"/>
      <c r="G13" s="151"/>
      <c r="H13" s="36"/>
    </row>
    <row r="14" spans="1:19" ht="13.5" thickBot="1">
      <c r="A14" s="23" t="s">
        <v>25</v>
      </c>
      <c r="B14" s="24" t="s">
        <v>175</v>
      </c>
      <c r="C14" s="49" t="s">
        <v>176</v>
      </c>
      <c r="D14" s="25" t="s">
        <v>170</v>
      </c>
      <c r="E14" s="115">
        <v>44256</v>
      </c>
      <c r="F14" s="147">
        <v>43891</v>
      </c>
      <c r="G14" s="172">
        <v>43525</v>
      </c>
      <c r="H14" s="25">
        <v>43160</v>
      </c>
      <c r="I14" s="25">
        <v>42795</v>
      </c>
      <c r="J14" s="25">
        <v>42430</v>
      </c>
      <c r="K14" s="25">
        <f>K1</f>
        <v>42064</v>
      </c>
      <c r="L14" s="25">
        <v>41699</v>
      </c>
      <c r="M14" s="25">
        <v>41334</v>
      </c>
      <c r="N14" s="25">
        <v>40969</v>
      </c>
      <c r="O14" s="25">
        <v>40603</v>
      </c>
      <c r="P14" s="25">
        <v>40238</v>
      </c>
      <c r="Q14" s="25">
        <v>39873</v>
      </c>
      <c r="R14" s="25">
        <v>39508</v>
      </c>
      <c r="S14" s="26">
        <v>39142</v>
      </c>
    </row>
    <row r="15" spans="1:19" ht="12.75">
      <c r="A15" s="20" t="s">
        <v>7</v>
      </c>
      <c r="B15" s="27">
        <f>(E15-F15)/F15</f>
        <v>0.6117821887273113</v>
      </c>
      <c r="C15" s="50">
        <f>E15-'[1]Belgium'!E15</f>
        <v>-40230</v>
      </c>
      <c r="D15" s="1">
        <f>F15-'[1]Belgium'!F15</f>
        <v>-38147</v>
      </c>
      <c r="E15" s="114">
        <v>151846</v>
      </c>
      <c r="F15" s="148">
        <v>94210</v>
      </c>
      <c r="G15" s="148">
        <v>130573</v>
      </c>
      <c r="H15" s="1">
        <v>84620</v>
      </c>
      <c r="I15" s="1">
        <v>111329</v>
      </c>
      <c r="J15" s="1">
        <v>132233</v>
      </c>
      <c r="K15" s="1">
        <v>114363</v>
      </c>
      <c r="L15" s="1">
        <v>72103</v>
      </c>
      <c r="M15" s="1">
        <v>56000</v>
      </c>
      <c r="N15" s="1">
        <v>63000</v>
      </c>
      <c r="O15" s="1">
        <v>75600</v>
      </c>
      <c r="P15" s="1">
        <v>70800</v>
      </c>
      <c r="Q15" s="1">
        <v>27600</v>
      </c>
      <c r="R15" s="1">
        <v>74900</v>
      </c>
      <c r="S15" s="29">
        <v>88700</v>
      </c>
    </row>
    <row r="16" spans="1:19" ht="12.75">
      <c r="A16" s="20" t="s">
        <v>100</v>
      </c>
      <c r="B16" s="27">
        <f>(E16-F16)/F16</f>
        <v>129.96</v>
      </c>
      <c r="C16" s="50">
        <f>E16-'[1]Belgium'!E16</f>
        <v>-1396</v>
      </c>
      <c r="D16" s="1">
        <f>F16-'[1]Belgium'!F16</f>
        <v>-262</v>
      </c>
      <c r="E16" s="114">
        <v>3274</v>
      </c>
      <c r="F16" s="148">
        <v>25</v>
      </c>
      <c r="G16" s="148">
        <v>829</v>
      </c>
      <c r="H16" s="1">
        <v>0</v>
      </c>
      <c r="I16" s="1">
        <v>247</v>
      </c>
      <c r="J16" s="1">
        <v>758</v>
      </c>
      <c r="K16" s="1">
        <v>1220</v>
      </c>
      <c r="L16" s="1">
        <v>695</v>
      </c>
      <c r="M16" s="1">
        <v>0</v>
      </c>
      <c r="N16" s="1">
        <v>300</v>
      </c>
      <c r="O16" s="1">
        <v>0</v>
      </c>
      <c r="P16" s="1">
        <v>0</v>
      </c>
      <c r="Q16" s="1">
        <v>0</v>
      </c>
      <c r="R16" s="1">
        <v>0</v>
      </c>
      <c r="S16" s="29">
        <v>800</v>
      </c>
    </row>
    <row r="17" spans="1:19" ht="12.75">
      <c r="A17" s="40" t="s">
        <v>163</v>
      </c>
      <c r="B17" s="27"/>
      <c r="C17" s="50">
        <f>E17-'[1]Belgium'!E17</f>
        <v>-7</v>
      </c>
      <c r="D17" s="1">
        <f>F17-'[1]Belgium'!F17</f>
        <v>0</v>
      </c>
      <c r="E17" s="114">
        <v>186</v>
      </c>
      <c r="F17" s="148">
        <v>0</v>
      </c>
      <c r="G17" s="148"/>
      <c r="H17" s="1">
        <v>0</v>
      </c>
      <c r="I17" s="1">
        <v>0</v>
      </c>
      <c r="J17" s="1">
        <v>0</v>
      </c>
      <c r="K17" s="1"/>
      <c r="L17" s="1"/>
      <c r="M17" s="1"/>
      <c r="N17" s="1"/>
      <c r="O17" s="1"/>
      <c r="P17" s="1"/>
      <c r="Q17" s="1"/>
      <c r="R17" s="1"/>
      <c r="S17" s="29"/>
    </row>
    <row r="18" spans="1:19" ht="13.5" thickBot="1">
      <c r="A18" s="30" t="s">
        <v>6</v>
      </c>
      <c r="B18" s="28">
        <f>(E18-F18)/F18</f>
        <v>2.3526970954356847</v>
      </c>
      <c r="C18" s="50">
        <f>E18-'[1]Belgium'!E18</f>
        <v>-370</v>
      </c>
      <c r="D18" s="10">
        <f>F18-'[1]Belgium'!F18</f>
        <v>-684</v>
      </c>
      <c r="E18" s="116">
        <v>808</v>
      </c>
      <c r="F18" s="149">
        <v>241</v>
      </c>
      <c r="G18" s="149">
        <v>1473</v>
      </c>
      <c r="H18" s="10">
        <v>337</v>
      </c>
      <c r="I18" s="10">
        <v>137</v>
      </c>
      <c r="J18" s="10">
        <v>89</v>
      </c>
      <c r="K18" s="10">
        <v>1382</v>
      </c>
      <c r="L18" s="10">
        <v>314</v>
      </c>
      <c r="M18" s="10">
        <v>0</v>
      </c>
      <c r="N18" s="10">
        <v>150</v>
      </c>
      <c r="O18" s="10">
        <v>400</v>
      </c>
      <c r="P18" s="10">
        <v>0</v>
      </c>
      <c r="Q18" s="10">
        <v>0</v>
      </c>
      <c r="R18" s="10">
        <v>0</v>
      </c>
      <c r="S18" s="31">
        <v>500</v>
      </c>
    </row>
    <row r="19" spans="1:19" ht="13.5" thickBot="1">
      <c r="A19" s="32" t="s">
        <v>23</v>
      </c>
      <c r="B19" s="33">
        <f>(E19-F19)/F19</f>
        <v>0.6524196621364156</v>
      </c>
      <c r="C19" s="70">
        <f>E19-'[1]Belgium'!E19</f>
        <v>-42003</v>
      </c>
      <c r="D19" s="34">
        <f>F19-'[1]Belgium'!F19</f>
        <v>-39093</v>
      </c>
      <c r="E19" s="117">
        <f>SUM(E15:E18)</f>
        <v>156114</v>
      </c>
      <c r="F19" s="150">
        <f>SUM(F15:F18)</f>
        <v>94476</v>
      </c>
      <c r="G19" s="150">
        <f>SUM(G15:G18)</f>
        <v>132875</v>
      </c>
      <c r="H19" s="34">
        <f>SUM(H15:H18)</f>
        <v>84957</v>
      </c>
      <c r="I19" s="34">
        <v>111713</v>
      </c>
      <c r="J19" s="34">
        <v>133080</v>
      </c>
      <c r="K19" s="34">
        <v>116965</v>
      </c>
      <c r="L19" s="34">
        <v>73112</v>
      </c>
      <c r="M19" s="34">
        <v>56000</v>
      </c>
      <c r="N19" s="34">
        <v>63450</v>
      </c>
      <c r="O19" s="34">
        <v>76000</v>
      </c>
      <c r="P19" s="34">
        <f>SUM(P15:P18)</f>
        <v>70800</v>
      </c>
      <c r="Q19" s="34">
        <f>SUM(Q15:Q18)</f>
        <v>27600</v>
      </c>
      <c r="R19" s="34">
        <f>SUM(R15:R18)</f>
        <v>74900</v>
      </c>
      <c r="S19" s="35">
        <f>SUM(S15:S18)</f>
        <v>90000</v>
      </c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6"/>
      <c r="S36" s="1"/>
      <c r="T36" s="1"/>
    </row>
    <row r="37" spans="18:20" ht="18">
      <c r="R37" s="7"/>
      <c r="S37" s="2"/>
      <c r="T3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E10" sqref="E10"/>
    </sheetView>
  </sheetViews>
  <sheetFormatPr defaultColWidth="8.8515625" defaultRowHeight="12.75"/>
  <cols>
    <col min="1" max="1" width="19.140625" style="0" customWidth="1"/>
    <col min="2" max="2" width="10.7109375" style="0" customWidth="1"/>
    <col min="3" max="3" width="11.7109375" style="0" bestFit="1" customWidth="1"/>
    <col min="4" max="4" width="11.28125" style="79" bestFit="1" customWidth="1"/>
    <col min="5" max="5" width="11.28125" style="79" customWidth="1"/>
    <col min="6" max="7" width="11.28125" style="171" customWidth="1"/>
    <col min="8" max="8" width="11.28125" style="79" customWidth="1"/>
    <col min="9" max="9" width="10.140625" style="79" bestFit="1" customWidth="1"/>
    <col min="10" max="19" width="10.140625" style="0" bestFit="1" customWidth="1"/>
  </cols>
  <sheetData>
    <row r="1" spans="1:19" ht="13.5" thickBot="1">
      <c r="A1" s="23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20" t="s">
        <v>11</v>
      </c>
      <c r="B2" s="27">
        <f>(E2-F2)/F2</f>
        <v>1.0096153846153846</v>
      </c>
      <c r="C2" s="132">
        <f>E2-'[1]Czech Republic'!E2</f>
        <v>-363</v>
      </c>
      <c r="D2" s="82">
        <f>F2-'[1]Czech Republic'!F2</f>
        <v>-286</v>
      </c>
      <c r="E2" s="119">
        <v>3553</v>
      </c>
      <c r="F2" s="168">
        <v>1768</v>
      </c>
      <c r="G2" s="168">
        <v>2691</v>
      </c>
      <c r="H2" s="82">
        <v>917</v>
      </c>
      <c r="I2" s="82">
        <v>825</v>
      </c>
      <c r="J2" s="1"/>
      <c r="K2" s="1"/>
      <c r="L2" s="1"/>
      <c r="M2" s="1"/>
      <c r="N2" s="1"/>
      <c r="O2" s="1"/>
      <c r="P2" s="1"/>
      <c r="Q2" s="1"/>
      <c r="R2" s="1"/>
      <c r="S2" s="29"/>
    </row>
    <row r="3" spans="1:19" ht="12.75">
      <c r="A3" s="20" t="s">
        <v>9</v>
      </c>
      <c r="B3" s="27">
        <f aca="true" t="shared" si="0" ref="B3:B12">(E3-F3)/F3</f>
        <v>0.5392051557465092</v>
      </c>
      <c r="C3" s="132">
        <f>E3-'[1]Czech Republic'!E3</f>
        <v>-1289</v>
      </c>
      <c r="D3" s="82">
        <f>F3-'[1]Czech Republic'!F3</f>
        <v>-471</v>
      </c>
      <c r="E3" s="119">
        <v>2866</v>
      </c>
      <c r="F3" s="168">
        <v>1862</v>
      </c>
      <c r="G3" s="168">
        <v>1370</v>
      </c>
      <c r="H3" s="82">
        <v>1858</v>
      </c>
      <c r="I3" s="82">
        <v>1752</v>
      </c>
      <c r="J3" s="1">
        <v>2186</v>
      </c>
      <c r="K3" s="1">
        <v>723</v>
      </c>
      <c r="L3" s="1">
        <v>780</v>
      </c>
      <c r="M3" s="1">
        <v>50</v>
      </c>
      <c r="N3" s="1">
        <v>150</v>
      </c>
      <c r="O3" s="1">
        <v>55</v>
      </c>
      <c r="P3" s="1">
        <v>44</v>
      </c>
      <c r="Q3" s="1">
        <v>36</v>
      </c>
      <c r="R3" s="1">
        <v>91</v>
      </c>
      <c r="S3" s="29">
        <v>58</v>
      </c>
    </row>
    <row r="4" spans="1:19" ht="12.75">
      <c r="A4" s="20" t="s">
        <v>14</v>
      </c>
      <c r="B4" s="27">
        <f t="shared" si="0"/>
        <v>0.4316546762589928</v>
      </c>
      <c r="C4" s="132">
        <f>E4-'[1]Czech Republic'!E4</f>
        <v>-81</v>
      </c>
      <c r="D4" s="82">
        <f>F4-'[1]Czech Republic'!F4</f>
        <v>-9</v>
      </c>
      <c r="E4" s="119">
        <v>199</v>
      </c>
      <c r="F4" s="168">
        <v>139</v>
      </c>
      <c r="G4" s="168">
        <v>949</v>
      </c>
      <c r="H4" s="82">
        <v>405</v>
      </c>
      <c r="I4" s="82">
        <v>177</v>
      </c>
      <c r="J4" s="1">
        <v>631</v>
      </c>
      <c r="K4" s="1">
        <v>715</v>
      </c>
      <c r="L4" s="1">
        <v>197</v>
      </c>
      <c r="M4" s="1">
        <v>813</v>
      </c>
      <c r="N4" s="1">
        <v>304</v>
      </c>
      <c r="O4" s="1">
        <v>639</v>
      </c>
      <c r="P4" s="1">
        <v>748</v>
      </c>
      <c r="Q4" s="1">
        <v>1218</v>
      </c>
      <c r="R4" s="1">
        <v>628</v>
      </c>
      <c r="S4" s="29">
        <v>935</v>
      </c>
    </row>
    <row r="5" spans="1:19" ht="12.75">
      <c r="A5" s="20" t="s">
        <v>3</v>
      </c>
      <c r="B5" s="27">
        <f t="shared" si="0"/>
        <v>0.15121825447982468</v>
      </c>
      <c r="C5" s="132">
        <f>E5-'[1]Czech Republic'!E5</f>
        <v>-1590</v>
      </c>
      <c r="D5" s="82">
        <f>F5-'[1]Czech Republic'!F5</f>
        <v>-1985</v>
      </c>
      <c r="E5" s="119">
        <v>8930</v>
      </c>
      <c r="F5" s="168">
        <v>7757</v>
      </c>
      <c r="G5" s="168">
        <v>10649</v>
      </c>
      <c r="H5" s="82">
        <v>8504</v>
      </c>
      <c r="I5" s="82">
        <v>7980</v>
      </c>
      <c r="J5" s="1">
        <v>8674</v>
      </c>
      <c r="K5" s="1">
        <v>7848</v>
      </c>
      <c r="L5" s="1">
        <v>6656</v>
      </c>
      <c r="M5" s="1">
        <v>4029</v>
      </c>
      <c r="N5" s="1">
        <v>5447</v>
      </c>
      <c r="O5" s="1">
        <v>3358</v>
      </c>
      <c r="P5" s="1">
        <v>5482</v>
      </c>
      <c r="Q5" s="1">
        <v>4718</v>
      </c>
      <c r="R5" s="1">
        <v>3581</v>
      </c>
      <c r="S5" s="29">
        <v>2739</v>
      </c>
    </row>
    <row r="6" spans="1:19" ht="12.75">
      <c r="A6" s="20" t="s">
        <v>10</v>
      </c>
      <c r="B6" s="27">
        <f t="shared" si="0"/>
        <v>1.1754458730817088</v>
      </c>
      <c r="C6" s="132">
        <f>E6-'[1]Czech Republic'!E6</f>
        <v>-826</v>
      </c>
      <c r="D6" s="82">
        <f>F6-'[1]Czech Republic'!F6</f>
        <v>-1072</v>
      </c>
      <c r="E6" s="119">
        <v>5245</v>
      </c>
      <c r="F6" s="168">
        <v>2411</v>
      </c>
      <c r="G6" s="168">
        <v>7816</v>
      </c>
      <c r="H6" s="82">
        <v>4129</v>
      </c>
      <c r="I6" s="82">
        <v>3604</v>
      </c>
      <c r="J6" s="1">
        <v>7770</v>
      </c>
      <c r="K6" s="1">
        <v>5054</v>
      </c>
      <c r="L6" s="1">
        <v>6916</v>
      </c>
      <c r="M6" s="1">
        <v>9842</v>
      </c>
      <c r="N6" s="1">
        <v>2986</v>
      </c>
      <c r="O6" s="1">
        <v>6758</v>
      </c>
      <c r="P6" s="1">
        <v>11938</v>
      </c>
      <c r="Q6" s="1">
        <v>13121</v>
      </c>
      <c r="R6" s="1">
        <v>5490</v>
      </c>
      <c r="S6" s="29">
        <v>11264</v>
      </c>
    </row>
    <row r="7" spans="1:19" ht="12.75">
      <c r="A7" s="20" t="s">
        <v>27</v>
      </c>
      <c r="B7" s="27">
        <f t="shared" si="0"/>
        <v>1.2376559956592512</v>
      </c>
      <c r="C7" s="132">
        <f>E7-'[1]Czech Republic'!E7</f>
        <v>-1471</v>
      </c>
      <c r="D7" s="82">
        <f>F7-'[1]Czech Republic'!F7</f>
        <v>-1261</v>
      </c>
      <c r="E7" s="119">
        <v>4124</v>
      </c>
      <c r="F7" s="168">
        <v>1843</v>
      </c>
      <c r="G7" s="168">
        <v>5764</v>
      </c>
      <c r="H7" s="82">
        <v>1712</v>
      </c>
      <c r="I7" s="82">
        <v>2318</v>
      </c>
      <c r="J7" s="1">
        <v>3185</v>
      </c>
      <c r="K7" s="1">
        <v>2708</v>
      </c>
      <c r="L7" s="1">
        <v>2908</v>
      </c>
      <c r="M7" s="1">
        <v>1406</v>
      </c>
      <c r="N7" s="1">
        <v>981</v>
      </c>
      <c r="O7" s="1">
        <v>1470</v>
      </c>
      <c r="P7" s="1">
        <v>2678</v>
      </c>
      <c r="Q7" s="1">
        <v>2353</v>
      </c>
      <c r="R7" s="1">
        <v>937</v>
      </c>
      <c r="S7" s="29">
        <v>1740</v>
      </c>
    </row>
    <row r="8" spans="1:19" ht="12.75">
      <c r="A8" s="20" t="s">
        <v>19</v>
      </c>
      <c r="B8" s="27">
        <f t="shared" si="0"/>
        <v>0.39749430523917995</v>
      </c>
      <c r="C8" s="132">
        <f>E8-'[1]Czech Republic'!E8</f>
        <v>-99</v>
      </c>
      <c r="D8" s="82">
        <f>F8-'[1]Czech Republic'!F8</f>
        <v>10</v>
      </c>
      <c r="E8" s="119">
        <v>1227</v>
      </c>
      <c r="F8" s="168">
        <v>878</v>
      </c>
      <c r="G8" s="168">
        <v>1612</v>
      </c>
      <c r="H8" s="82">
        <v>705</v>
      </c>
      <c r="I8" s="82">
        <v>224</v>
      </c>
      <c r="J8" s="1">
        <v>659</v>
      </c>
      <c r="K8" s="1">
        <v>10</v>
      </c>
      <c r="L8" s="1">
        <v>92</v>
      </c>
      <c r="M8" s="1">
        <v>101</v>
      </c>
      <c r="N8" s="1">
        <v>38</v>
      </c>
      <c r="O8" s="1">
        <v>36</v>
      </c>
      <c r="P8" s="1">
        <v>26</v>
      </c>
      <c r="Q8" s="1">
        <v>16</v>
      </c>
      <c r="R8" s="1">
        <v>94</v>
      </c>
      <c r="S8" s="29">
        <v>86</v>
      </c>
    </row>
    <row r="9" spans="1:19" ht="12.75">
      <c r="A9" s="40" t="s">
        <v>89</v>
      </c>
      <c r="B9" s="27">
        <f t="shared" si="0"/>
        <v>2.9602649006622515</v>
      </c>
      <c r="C9" s="132">
        <f>E9-'[1]Czech Republic'!E9</f>
        <v>-217</v>
      </c>
      <c r="D9" s="82">
        <f>F9-'[1]Czech Republic'!F9</f>
        <v>-150</v>
      </c>
      <c r="E9" s="119">
        <v>1196</v>
      </c>
      <c r="F9" s="168">
        <v>302</v>
      </c>
      <c r="G9" s="168">
        <v>1217</v>
      </c>
      <c r="H9" s="82">
        <v>360</v>
      </c>
      <c r="I9" s="82">
        <v>809</v>
      </c>
      <c r="J9" s="1">
        <v>1277</v>
      </c>
      <c r="K9" s="1">
        <v>1072</v>
      </c>
      <c r="L9" s="1">
        <v>198</v>
      </c>
      <c r="M9" s="1">
        <v>305</v>
      </c>
      <c r="N9" s="1">
        <v>327</v>
      </c>
      <c r="O9" s="1">
        <v>323</v>
      </c>
      <c r="P9" s="1">
        <v>254</v>
      </c>
      <c r="Q9" s="1">
        <v>412</v>
      </c>
      <c r="R9" s="1">
        <v>250</v>
      </c>
      <c r="S9" s="29">
        <v>738</v>
      </c>
    </row>
    <row r="10" spans="1:19" ht="12.75">
      <c r="A10" s="20" t="s">
        <v>35</v>
      </c>
      <c r="B10" s="27">
        <f t="shared" si="0"/>
        <v>4.866666666666666</v>
      </c>
      <c r="C10" s="132">
        <f>E10-'[1]Czech Republic'!E10</f>
        <v>-6</v>
      </c>
      <c r="D10" s="82">
        <f>F10-'[1]Czech Republic'!F10</f>
        <v>-10</v>
      </c>
      <c r="E10" s="119">
        <v>176</v>
      </c>
      <c r="F10" s="168">
        <v>30</v>
      </c>
      <c r="G10" s="168">
        <v>6</v>
      </c>
      <c r="H10" s="82">
        <v>0</v>
      </c>
      <c r="I10" s="82">
        <v>0</v>
      </c>
      <c r="J10" s="1">
        <v>25</v>
      </c>
      <c r="K10" s="1">
        <v>0</v>
      </c>
      <c r="L10" s="1">
        <v>0</v>
      </c>
      <c r="M10" s="1">
        <v>64</v>
      </c>
      <c r="N10" s="1">
        <v>5</v>
      </c>
      <c r="O10" s="1">
        <v>2</v>
      </c>
      <c r="P10" s="1">
        <v>58</v>
      </c>
      <c r="Q10" s="1">
        <v>11</v>
      </c>
      <c r="R10" s="1">
        <v>60</v>
      </c>
      <c r="S10" s="29">
        <v>4</v>
      </c>
    </row>
    <row r="11" spans="1:19" ht="13.5" thickBot="1">
      <c r="A11" s="22" t="s">
        <v>59</v>
      </c>
      <c r="B11" s="27">
        <f t="shared" si="0"/>
        <v>1.4969378827646544</v>
      </c>
      <c r="C11" s="133">
        <f>E11-'[1]Czech Republic'!E11</f>
        <v>-727</v>
      </c>
      <c r="D11" s="83">
        <f>F11-'[1]Czech Republic'!F11</f>
        <v>-167</v>
      </c>
      <c r="E11" s="120">
        <v>2854</v>
      </c>
      <c r="F11" s="169">
        <v>1143</v>
      </c>
      <c r="G11" s="169">
        <v>3325</v>
      </c>
      <c r="H11" s="83">
        <v>1307</v>
      </c>
      <c r="I11" s="118">
        <v>1272</v>
      </c>
      <c r="J11" s="77">
        <v>3304</v>
      </c>
      <c r="K11" s="77">
        <v>1230</v>
      </c>
      <c r="L11" s="77">
        <v>2145</v>
      </c>
      <c r="M11" s="77">
        <v>1073</v>
      </c>
      <c r="N11" s="77">
        <v>661</v>
      </c>
      <c r="O11" s="77">
        <v>997</v>
      </c>
      <c r="P11" s="77">
        <v>1471</v>
      </c>
      <c r="Q11" s="77">
        <v>1550</v>
      </c>
      <c r="R11" s="10">
        <v>1061</v>
      </c>
      <c r="S11" s="31">
        <v>1935</v>
      </c>
    </row>
    <row r="12" spans="1:19" ht="13.5" thickBot="1">
      <c r="A12" s="32" t="s">
        <v>23</v>
      </c>
      <c r="B12" s="142">
        <f t="shared" si="0"/>
        <v>0.6748469640986048</v>
      </c>
      <c r="C12" s="135">
        <f>E12-'[1]Czech Republic'!E12</f>
        <v>-6669</v>
      </c>
      <c r="D12" s="84">
        <f>F12-'[1]Czech Republic'!F12</f>
        <v>-5401</v>
      </c>
      <c r="E12" s="121">
        <f>SUM(E2:E11)</f>
        <v>30370</v>
      </c>
      <c r="F12" s="167">
        <v>18133</v>
      </c>
      <c r="G12" s="167">
        <f>SUM(G2:G11)</f>
        <v>35399</v>
      </c>
      <c r="H12" s="84">
        <f>SUM(H2:H11)</f>
        <v>19897</v>
      </c>
      <c r="I12" s="84">
        <f>SUM(I2:I11)</f>
        <v>18961</v>
      </c>
      <c r="J12" s="34">
        <f>SUM(J3:J11)</f>
        <v>27711</v>
      </c>
      <c r="K12" s="34">
        <f>SUM(K3:K11)</f>
        <v>19360</v>
      </c>
      <c r="L12" s="34">
        <f>SUM(L3:L11)</f>
        <v>19892</v>
      </c>
      <c r="M12" s="34">
        <f>SUM(M3:M11)</f>
        <v>17683</v>
      </c>
      <c r="N12" s="34">
        <f aca="true" t="shared" si="1" ref="N12:S12">SUM(N3:N11)</f>
        <v>10899</v>
      </c>
      <c r="O12" s="34">
        <f t="shared" si="1"/>
        <v>13638</v>
      </c>
      <c r="P12" s="34">
        <f t="shared" si="1"/>
        <v>22699</v>
      </c>
      <c r="Q12" s="34">
        <f t="shared" si="1"/>
        <v>23435</v>
      </c>
      <c r="R12" s="34">
        <f t="shared" si="1"/>
        <v>12192</v>
      </c>
      <c r="S12" s="35">
        <f t="shared" si="1"/>
        <v>19499</v>
      </c>
    </row>
    <row r="13" spans="2:9" ht="12.75">
      <c r="B13" s="36"/>
      <c r="C13" s="36"/>
      <c r="D13" s="78"/>
      <c r="E13" s="78"/>
      <c r="F13" s="170"/>
      <c r="G13" s="170"/>
      <c r="H13" s="78"/>
      <c r="I13" s="78"/>
    </row>
    <row r="14" ht="13.5" thickBot="1"/>
    <row r="15" spans="1:19" ht="13.5" thickBot="1">
      <c r="A15" s="53" t="s">
        <v>25</v>
      </c>
      <c r="B15" s="24" t="s">
        <v>175</v>
      </c>
      <c r="C15" s="49" t="s">
        <v>176</v>
      </c>
      <c r="D15" s="25" t="s">
        <v>170</v>
      </c>
      <c r="E15" s="115">
        <v>44256</v>
      </c>
      <c r="F15" s="147">
        <v>43891</v>
      </c>
      <c r="G15" s="147">
        <v>43525</v>
      </c>
      <c r="H15" s="25">
        <v>43160</v>
      </c>
      <c r="I15" s="25">
        <v>42795</v>
      </c>
      <c r="J15" s="25">
        <v>42430</v>
      </c>
      <c r="K15" s="25">
        <v>42064</v>
      </c>
      <c r="L15" s="25">
        <v>41699</v>
      </c>
      <c r="M15" s="25">
        <v>41334</v>
      </c>
      <c r="N15" s="25">
        <v>40969</v>
      </c>
      <c r="O15" s="25">
        <v>40603</v>
      </c>
      <c r="P15" s="25">
        <v>40238</v>
      </c>
      <c r="Q15" s="25">
        <v>39873</v>
      </c>
      <c r="R15" s="25">
        <v>39508</v>
      </c>
      <c r="S15" s="26">
        <v>39142</v>
      </c>
    </row>
    <row r="16" spans="1:19" ht="12.75">
      <c r="A16" s="54" t="s">
        <v>7</v>
      </c>
      <c r="B16" s="55">
        <f aca="true" t="shared" si="2" ref="B16:B21">(E16-F16)/F16</f>
        <v>-0.14545454545454545</v>
      </c>
      <c r="C16" s="132">
        <f>E16-'[1]Czech Republic'!E16</f>
        <v>-154</v>
      </c>
      <c r="D16" s="57">
        <f>F16-'[1]Czech Republic'!F16</f>
        <v>-470</v>
      </c>
      <c r="E16" s="56">
        <v>1034</v>
      </c>
      <c r="F16" s="153">
        <v>1210</v>
      </c>
      <c r="G16" s="153">
        <v>1286</v>
      </c>
      <c r="H16" s="57">
        <v>920</v>
      </c>
      <c r="I16" s="57">
        <v>685</v>
      </c>
      <c r="J16" s="57">
        <v>795</v>
      </c>
      <c r="K16" s="57">
        <v>60</v>
      </c>
      <c r="L16" s="57">
        <v>1254</v>
      </c>
      <c r="M16" s="57">
        <v>0</v>
      </c>
      <c r="N16" s="57">
        <v>153</v>
      </c>
      <c r="O16" s="57">
        <v>0</v>
      </c>
      <c r="P16" s="57">
        <v>0</v>
      </c>
      <c r="Q16" s="57">
        <v>0</v>
      </c>
      <c r="R16" s="57">
        <v>0</v>
      </c>
      <c r="S16" s="67">
        <v>0</v>
      </c>
    </row>
    <row r="17" spans="1:19" ht="12.75">
      <c r="A17" s="54" t="s">
        <v>42</v>
      </c>
      <c r="B17" s="107"/>
      <c r="C17" s="132">
        <f>E17-'[1]Czech Republic'!E17</f>
        <v>0</v>
      </c>
      <c r="D17" s="57">
        <f>F17-'[1]Czech Republic'!F17</f>
        <v>0</v>
      </c>
      <c r="E17" s="56">
        <v>0</v>
      </c>
      <c r="F17" s="153">
        <v>0</v>
      </c>
      <c r="G17" s="153">
        <v>1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4</v>
      </c>
      <c r="O17" s="57">
        <v>0</v>
      </c>
      <c r="P17" s="57">
        <v>0</v>
      </c>
      <c r="Q17" s="57">
        <v>0</v>
      </c>
      <c r="R17" s="57">
        <v>0</v>
      </c>
      <c r="S17" s="67">
        <v>0</v>
      </c>
    </row>
    <row r="18" spans="1:19" ht="12.75">
      <c r="A18" s="54" t="s">
        <v>155</v>
      </c>
      <c r="B18" s="107">
        <f t="shared" si="2"/>
        <v>1.12</v>
      </c>
      <c r="C18" s="132">
        <f>E18-'[1]Czech Republic'!E18</f>
        <v>-37</v>
      </c>
      <c r="D18" s="57">
        <f>F18-'[1]Czech Republic'!F18</f>
        <v>-25</v>
      </c>
      <c r="E18" s="56">
        <v>159</v>
      </c>
      <c r="F18" s="153">
        <v>75</v>
      </c>
      <c r="G18" s="153">
        <v>37</v>
      </c>
      <c r="H18" s="57">
        <v>26</v>
      </c>
      <c r="I18" s="57">
        <v>26</v>
      </c>
      <c r="J18" s="57">
        <v>86</v>
      </c>
      <c r="K18" s="57">
        <v>0</v>
      </c>
      <c r="L18" s="57"/>
      <c r="M18" s="57"/>
      <c r="N18" s="57"/>
      <c r="O18" s="57"/>
      <c r="P18" s="57"/>
      <c r="Q18" s="57"/>
      <c r="R18" s="57"/>
      <c r="S18" s="67"/>
    </row>
    <row r="19" spans="1:19" ht="12.75">
      <c r="A19" s="54" t="s">
        <v>156</v>
      </c>
      <c r="B19" s="107"/>
      <c r="C19" s="132">
        <f>E19-'[1]Czech Republic'!E19</f>
        <v>-232</v>
      </c>
      <c r="D19" s="57">
        <f>F19-'[1]Czech Republic'!F19</f>
        <v>-100</v>
      </c>
      <c r="E19" s="56">
        <v>299</v>
      </c>
      <c r="F19" s="153">
        <v>0</v>
      </c>
      <c r="G19" s="153">
        <v>70</v>
      </c>
      <c r="H19" s="57">
        <v>0</v>
      </c>
      <c r="I19" s="57">
        <v>0</v>
      </c>
      <c r="J19" s="57">
        <v>12</v>
      </c>
      <c r="K19" s="57">
        <v>0</v>
      </c>
      <c r="L19" s="57"/>
      <c r="M19" s="57"/>
      <c r="N19" s="57"/>
      <c r="O19" s="57"/>
      <c r="P19" s="57"/>
      <c r="Q19" s="57"/>
      <c r="R19" s="57"/>
      <c r="S19" s="67"/>
    </row>
    <row r="20" spans="1:20" ht="13.5" thickBot="1">
      <c r="A20" s="58" t="s">
        <v>6</v>
      </c>
      <c r="B20" s="107">
        <f t="shared" si="2"/>
        <v>6</v>
      </c>
      <c r="C20" s="133">
        <f>E20-'[1]Czech Republic'!E20</f>
        <v>-15</v>
      </c>
      <c r="D20" s="57">
        <f>F20-'[1]Czech Republic'!F20</f>
        <v>-26</v>
      </c>
      <c r="E20" s="56">
        <v>42</v>
      </c>
      <c r="F20" s="153">
        <v>6</v>
      </c>
      <c r="G20" s="153">
        <v>8</v>
      </c>
      <c r="H20" s="57">
        <v>2</v>
      </c>
      <c r="I20" s="57">
        <v>0</v>
      </c>
      <c r="J20" s="60">
        <v>26</v>
      </c>
      <c r="K20" s="60">
        <v>48</v>
      </c>
      <c r="L20" s="60">
        <v>80</v>
      </c>
      <c r="M20" s="60">
        <v>4</v>
      </c>
      <c r="N20" s="60">
        <v>28</v>
      </c>
      <c r="O20" s="60">
        <v>42</v>
      </c>
      <c r="P20" s="60">
        <v>20</v>
      </c>
      <c r="Q20" s="60">
        <v>0</v>
      </c>
      <c r="R20" s="60">
        <v>0</v>
      </c>
      <c r="S20" s="68">
        <v>0</v>
      </c>
      <c r="T20" s="1"/>
    </row>
    <row r="21" spans="1:20" ht="13.5" thickBot="1">
      <c r="A21" s="61" t="s">
        <v>92</v>
      </c>
      <c r="B21" s="62">
        <f t="shared" si="2"/>
        <v>0.1882261812548412</v>
      </c>
      <c r="C21" s="135">
        <f>E21-'[1]Czech Republic'!E21</f>
        <v>-438</v>
      </c>
      <c r="D21" s="80">
        <f>F21-'[1]Czech Republic'!F21</f>
        <v>-621</v>
      </c>
      <c r="E21" s="63">
        <f>SUM(E16:E20)</f>
        <v>1534</v>
      </c>
      <c r="F21" s="154">
        <v>1291</v>
      </c>
      <c r="G21" s="154">
        <f>SUM(G16:G20)</f>
        <v>1402</v>
      </c>
      <c r="H21" s="80">
        <f aca="true" t="shared" si="3" ref="H21:M21">SUM(H16:H20)</f>
        <v>948</v>
      </c>
      <c r="I21" s="80">
        <f t="shared" si="3"/>
        <v>711</v>
      </c>
      <c r="J21" s="80">
        <f t="shared" si="3"/>
        <v>919</v>
      </c>
      <c r="K21" s="80">
        <f t="shared" si="3"/>
        <v>108</v>
      </c>
      <c r="L21" s="80">
        <f t="shared" si="3"/>
        <v>1334</v>
      </c>
      <c r="M21" s="80">
        <f t="shared" si="3"/>
        <v>4</v>
      </c>
      <c r="N21" s="80">
        <f aca="true" t="shared" si="4" ref="N21:S21">SUM(N16:N20)</f>
        <v>185</v>
      </c>
      <c r="O21" s="80">
        <f t="shared" si="4"/>
        <v>42</v>
      </c>
      <c r="P21" s="80">
        <f t="shared" si="4"/>
        <v>20</v>
      </c>
      <c r="Q21" s="80">
        <f t="shared" si="4"/>
        <v>0</v>
      </c>
      <c r="R21" s="80">
        <f t="shared" si="4"/>
        <v>0</v>
      </c>
      <c r="S21" s="81">
        <f t="shared" si="4"/>
        <v>0</v>
      </c>
      <c r="T21" s="1"/>
    </row>
    <row r="22" spans="18:20" ht="18">
      <c r="R22" s="5"/>
      <c r="S22" s="1"/>
      <c r="T22" s="1"/>
    </row>
    <row r="23" spans="18:20" ht="18">
      <c r="R23" s="5"/>
      <c r="S23" s="1"/>
      <c r="T23" s="1"/>
    </row>
    <row r="24" spans="18:20" ht="18">
      <c r="R24" s="5"/>
      <c r="S24" s="1"/>
      <c r="T24" s="1"/>
    </row>
    <row r="25" spans="18:20" ht="18">
      <c r="R25" s="5"/>
      <c r="S25" s="1"/>
      <c r="T25" s="1"/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6"/>
      <c r="S29" s="1"/>
      <c r="T29" s="1"/>
    </row>
    <row r="30" spans="18:20" ht="18">
      <c r="R30" s="7"/>
      <c r="S30" s="2"/>
      <c r="T30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E26" sqref="E26"/>
    </sheetView>
  </sheetViews>
  <sheetFormatPr defaultColWidth="8.8515625" defaultRowHeight="12.75"/>
  <cols>
    <col min="1" max="1" width="18.851562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9" width="10.7109375" style="0" customWidth="1"/>
    <col min="10" max="19" width="10.140625" style="0" bestFit="1" customWidth="1"/>
  </cols>
  <sheetData>
    <row r="1" spans="1:19" ht="13.5" thickBot="1">
      <c r="A1" s="39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5">
        <v>40238</v>
      </c>
      <c r="Q1" s="25">
        <v>39873</v>
      </c>
      <c r="R1" s="25">
        <v>39508</v>
      </c>
      <c r="S1" s="26">
        <v>39142</v>
      </c>
    </row>
    <row r="2" spans="1:19" ht="12.75">
      <c r="A2" s="40" t="s">
        <v>4</v>
      </c>
      <c r="B2" s="101"/>
      <c r="C2" s="129">
        <f>E2-'[1]Denmark'!E2</f>
        <v>0</v>
      </c>
      <c r="D2" s="38">
        <f>F2-'[1]Denmark'!F2</f>
        <v>0</v>
      </c>
      <c r="E2" s="43"/>
      <c r="F2" s="145"/>
      <c r="G2" s="145">
        <v>0</v>
      </c>
      <c r="H2" s="38"/>
      <c r="I2" s="38"/>
      <c r="J2" s="38"/>
      <c r="K2" s="38">
        <v>0</v>
      </c>
      <c r="L2" s="38"/>
      <c r="M2" s="38">
        <v>4</v>
      </c>
      <c r="N2" s="38"/>
      <c r="O2" s="38">
        <v>10</v>
      </c>
      <c r="P2" s="38">
        <v>0</v>
      </c>
      <c r="Q2" s="38">
        <v>0</v>
      </c>
      <c r="R2" s="38"/>
      <c r="S2" s="65"/>
    </row>
    <row r="3" spans="1:19" ht="12.75">
      <c r="A3" s="40" t="s">
        <v>97</v>
      </c>
      <c r="B3" s="101">
        <f>(E3-F3)/F3</f>
        <v>-1</v>
      </c>
      <c r="C3" s="129">
        <f>E3-'[1]Denmark'!E3</f>
        <v>0</v>
      </c>
      <c r="D3" s="38">
        <f>F3-'[1]Denmark'!F3</f>
        <v>-58</v>
      </c>
      <c r="E3" s="43"/>
      <c r="F3" s="145">
        <v>270</v>
      </c>
      <c r="G3" s="145">
        <v>229</v>
      </c>
      <c r="H3" s="38">
        <v>0</v>
      </c>
      <c r="I3" s="38">
        <v>273</v>
      </c>
      <c r="J3" s="38">
        <v>394</v>
      </c>
      <c r="K3" s="38">
        <v>242</v>
      </c>
      <c r="L3" s="38">
        <v>456</v>
      </c>
      <c r="M3" s="38">
        <v>301</v>
      </c>
      <c r="N3" s="38">
        <v>370</v>
      </c>
      <c r="O3" s="38">
        <v>199</v>
      </c>
      <c r="P3" s="38">
        <v>85</v>
      </c>
      <c r="Q3" s="38">
        <v>42</v>
      </c>
      <c r="R3" s="38"/>
      <c r="S3" s="65"/>
    </row>
    <row r="4" spans="1:19" ht="12.75">
      <c r="A4" s="40" t="s">
        <v>5</v>
      </c>
      <c r="B4" s="101"/>
      <c r="C4" s="129">
        <f>E4-'[1]Denmark'!E4</f>
        <v>0</v>
      </c>
      <c r="D4" s="38">
        <f>F4-'[1]Denmark'!F4</f>
        <v>0</v>
      </c>
      <c r="E4" s="43"/>
      <c r="F4" s="145"/>
      <c r="G4" s="145">
        <v>0</v>
      </c>
      <c r="H4" s="38">
        <v>0</v>
      </c>
      <c r="I4" s="38">
        <v>0</v>
      </c>
      <c r="J4" s="38"/>
      <c r="K4" s="38">
        <v>0</v>
      </c>
      <c r="L4" s="38"/>
      <c r="M4" s="38"/>
      <c r="N4" s="38">
        <v>0</v>
      </c>
      <c r="O4" s="38"/>
      <c r="P4" s="38">
        <v>0</v>
      </c>
      <c r="Q4" s="38">
        <v>1</v>
      </c>
      <c r="R4" s="38"/>
      <c r="S4" s="65"/>
    </row>
    <row r="5" spans="1:19" ht="12.75">
      <c r="A5" s="40" t="s">
        <v>2</v>
      </c>
      <c r="B5" s="101">
        <f>(E5-F5)/F5</f>
        <v>0.5658263305322129</v>
      </c>
      <c r="C5" s="129">
        <f>E5-'[1]Denmark'!E5</f>
        <v>-819</v>
      </c>
      <c r="D5" s="38">
        <f>F5-'[1]Denmark'!F5</f>
        <v>-781</v>
      </c>
      <c r="E5" s="43">
        <v>1118</v>
      </c>
      <c r="F5" s="145">
        <v>714</v>
      </c>
      <c r="G5" s="145">
        <v>2030</v>
      </c>
      <c r="H5" s="38">
        <v>813</v>
      </c>
      <c r="I5" s="38">
        <v>1574</v>
      </c>
      <c r="J5" s="38">
        <v>1864</v>
      </c>
      <c r="K5" s="38">
        <v>1237</v>
      </c>
      <c r="L5" s="38">
        <v>683</v>
      </c>
      <c r="M5" s="38">
        <v>447</v>
      </c>
      <c r="N5" s="38">
        <v>359</v>
      </c>
      <c r="O5" s="38">
        <v>290</v>
      </c>
      <c r="P5" s="38">
        <v>940</v>
      </c>
      <c r="Q5" s="38">
        <v>900</v>
      </c>
      <c r="R5" s="38">
        <v>324</v>
      </c>
      <c r="S5" s="65">
        <v>340</v>
      </c>
    </row>
    <row r="6" spans="1:19" ht="12.75">
      <c r="A6" s="40" t="s">
        <v>12</v>
      </c>
      <c r="B6" s="101"/>
      <c r="C6" s="129">
        <f>E6-'[1]Denmark'!E6</f>
        <v>0</v>
      </c>
      <c r="D6" s="38">
        <f>F6-'[1]Denmark'!F6</f>
        <v>-5</v>
      </c>
      <c r="E6" s="43"/>
      <c r="F6" s="145"/>
      <c r="G6" s="145">
        <v>8</v>
      </c>
      <c r="H6" s="38">
        <v>0</v>
      </c>
      <c r="I6" s="38">
        <v>17</v>
      </c>
      <c r="J6" s="38"/>
      <c r="K6" s="38">
        <v>0</v>
      </c>
      <c r="L6" s="38">
        <v>29</v>
      </c>
      <c r="M6" s="38"/>
      <c r="N6" s="38"/>
      <c r="O6" s="38"/>
      <c r="P6" s="38">
        <v>0</v>
      </c>
      <c r="Q6" s="38">
        <v>0</v>
      </c>
      <c r="R6" s="38"/>
      <c r="S6" s="65"/>
    </row>
    <row r="7" spans="1:19" ht="12.75">
      <c r="A7" s="40" t="s">
        <v>9</v>
      </c>
      <c r="B7" s="101">
        <f>(E7-F7)/F7</f>
        <v>-0.68</v>
      </c>
      <c r="C7" s="129">
        <f>E7-'[1]Denmark'!E7</f>
        <v>8</v>
      </c>
      <c r="D7" s="38">
        <f>F7-'[1]Denmark'!F7</f>
        <v>25</v>
      </c>
      <c r="E7" s="43">
        <v>8</v>
      </c>
      <c r="F7" s="145">
        <v>25</v>
      </c>
      <c r="G7" s="145">
        <v>269</v>
      </c>
      <c r="H7" s="38">
        <v>0</v>
      </c>
      <c r="I7" s="38">
        <v>279</v>
      </c>
      <c r="J7" s="38">
        <v>167</v>
      </c>
      <c r="K7" s="38">
        <v>0</v>
      </c>
      <c r="L7" s="38">
        <v>0</v>
      </c>
      <c r="M7" s="38"/>
      <c r="N7" s="38">
        <v>13</v>
      </c>
      <c r="O7" s="38">
        <v>7</v>
      </c>
      <c r="P7" s="38">
        <v>0</v>
      </c>
      <c r="Q7" s="38">
        <v>0</v>
      </c>
      <c r="R7" s="38"/>
      <c r="S7" s="65"/>
    </row>
    <row r="8" spans="1:19" ht="12.75">
      <c r="A8" s="40" t="s">
        <v>14</v>
      </c>
      <c r="B8" s="101"/>
      <c r="C8" s="129">
        <f>E8-'[1]Denmark'!E8</f>
        <v>-80</v>
      </c>
      <c r="D8" s="38">
        <f>F8-'[1]Denmark'!F8</f>
        <v>-104</v>
      </c>
      <c r="E8" s="43"/>
      <c r="F8" s="145"/>
      <c r="G8" s="145"/>
      <c r="H8" s="38"/>
      <c r="I8" s="38"/>
      <c r="J8" s="38"/>
      <c r="K8" s="38">
        <v>0</v>
      </c>
      <c r="L8" s="38"/>
      <c r="M8" s="38"/>
      <c r="N8" s="38">
        <v>4</v>
      </c>
      <c r="O8" s="38">
        <v>17</v>
      </c>
      <c r="P8" s="38">
        <v>58</v>
      </c>
      <c r="Q8" s="38">
        <v>110</v>
      </c>
      <c r="R8" s="38">
        <v>0</v>
      </c>
      <c r="S8" s="65">
        <v>35</v>
      </c>
    </row>
    <row r="9" spans="1:19" ht="12.75">
      <c r="A9" s="40" t="s">
        <v>17</v>
      </c>
      <c r="B9" s="101"/>
      <c r="C9" s="129">
        <f>E9-'[1]Denmark'!E9</f>
        <v>0</v>
      </c>
      <c r="D9" s="38">
        <f>F9-'[1]Denmark'!F9</f>
        <v>-4</v>
      </c>
      <c r="E9" s="43"/>
      <c r="F9" s="145"/>
      <c r="G9" s="145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5"/>
    </row>
    <row r="10" spans="1:19" ht="12.75">
      <c r="A10" s="40" t="s">
        <v>15</v>
      </c>
      <c r="B10" s="101"/>
      <c r="C10" s="129">
        <f>E10-'[1]Denmark'!E10</f>
        <v>0</v>
      </c>
      <c r="D10" s="38">
        <f>F10-'[1]Denmark'!F10</f>
        <v>0</v>
      </c>
      <c r="E10" s="43"/>
      <c r="F10" s="145"/>
      <c r="G10" s="145">
        <v>100</v>
      </c>
      <c r="H10" s="38"/>
      <c r="I10" s="38"/>
      <c r="J10" s="38">
        <v>10</v>
      </c>
      <c r="K10" s="38">
        <v>0</v>
      </c>
      <c r="L10" s="38">
        <v>46</v>
      </c>
      <c r="M10" s="38"/>
      <c r="N10" s="38"/>
      <c r="O10" s="38"/>
      <c r="P10" s="38">
        <v>0</v>
      </c>
      <c r="Q10" s="38">
        <v>5</v>
      </c>
      <c r="R10" s="38"/>
      <c r="S10" s="65"/>
    </row>
    <row r="11" spans="1:20" ht="12.75">
      <c r="A11" s="40" t="s">
        <v>10</v>
      </c>
      <c r="B11" s="101">
        <f>(E11-F11)/F11</f>
        <v>-1</v>
      </c>
      <c r="C11" s="129">
        <f>E11-'[1]Denmark'!E11</f>
        <v>0</v>
      </c>
      <c r="D11" s="38">
        <f>F11-'[1]Denmark'!F11</f>
        <v>-8</v>
      </c>
      <c r="E11" s="43"/>
      <c r="F11" s="145">
        <v>7</v>
      </c>
      <c r="G11" s="145">
        <v>14</v>
      </c>
      <c r="H11" s="38"/>
      <c r="I11" s="38"/>
      <c r="J11" s="38"/>
      <c r="K11" s="38">
        <v>0</v>
      </c>
      <c r="L11" s="38">
        <v>21</v>
      </c>
      <c r="M11" s="38"/>
      <c r="N11" s="38">
        <v>11</v>
      </c>
      <c r="O11" s="38">
        <v>16</v>
      </c>
      <c r="P11" s="38">
        <v>21</v>
      </c>
      <c r="Q11" s="38">
        <v>25</v>
      </c>
      <c r="R11" s="38"/>
      <c r="S11" s="65"/>
      <c r="T11" s="1"/>
    </row>
    <row r="12" spans="1:20" ht="12.75">
      <c r="A12" s="40" t="s">
        <v>99</v>
      </c>
      <c r="B12" s="101"/>
      <c r="C12" s="129">
        <f>E12-'[1]Denmark'!E12</f>
        <v>0</v>
      </c>
      <c r="D12" s="38">
        <f>F12-'[1]Denmark'!F12</f>
        <v>0</v>
      </c>
      <c r="E12" s="43"/>
      <c r="F12" s="145"/>
      <c r="G12" s="145">
        <v>49</v>
      </c>
      <c r="H12" s="38">
        <v>0</v>
      </c>
      <c r="I12" s="38">
        <v>213</v>
      </c>
      <c r="J12" s="38">
        <v>73</v>
      </c>
      <c r="K12" s="38">
        <v>0</v>
      </c>
      <c r="L12" s="38">
        <v>0</v>
      </c>
      <c r="M12" s="38"/>
      <c r="N12" s="38"/>
      <c r="O12" s="38"/>
      <c r="P12" s="38"/>
      <c r="Q12" s="38"/>
      <c r="R12" s="38"/>
      <c r="S12" s="65"/>
      <c r="T12" s="1"/>
    </row>
    <row r="13" spans="1:20" ht="12.75">
      <c r="A13" s="40" t="s">
        <v>27</v>
      </c>
      <c r="B13" s="101"/>
      <c r="C13" s="129">
        <f>E13-'[1]Denmark'!E13</f>
        <v>-23</v>
      </c>
      <c r="D13" s="38">
        <f>F13-'[1]Denmark'!F13</f>
        <v>0</v>
      </c>
      <c r="E13" s="43">
        <v>5</v>
      </c>
      <c r="F13" s="145"/>
      <c r="G13" s="145">
        <v>51</v>
      </c>
      <c r="H13" s="38">
        <v>0</v>
      </c>
      <c r="I13" s="38">
        <v>26</v>
      </c>
      <c r="J13" s="38">
        <v>22</v>
      </c>
      <c r="K13" s="38">
        <v>45</v>
      </c>
      <c r="L13" s="38"/>
      <c r="M13" s="38">
        <v>35</v>
      </c>
      <c r="N13" s="38"/>
      <c r="O13" s="38"/>
      <c r="P13" s="38">
        <v>0</v>
      </c>
      <c r="Q13" s="38">
        <v>6</v>
      </c>
      <c r="R13" s="38">
        <v>1393</v>
      </c>
      <c r="S13" s="65">
        <v>790</v>
      </c>
      <c r="T13" s="1"/>
    </row>
    <row r="14" spans="1:19" ht="12.75">
      <c r="A14" s="40" t="s">
        <v>26</v>
      </c>
      <c r="B14" s="101">
        <f>(E14-F14)/F14</f>
        <v>0.7301587301587301</v>
      </c>
      <c r="C14" s="129">
        <f>E14-'[1]Denmark'!E14</f>
        <v>-382</v>
      </c>
      <c r="D14" s="38">
        <f>F14-'[1]Denmark'!F14</f>
        <v>-320</v>
      </c>
      <c r="E14" s="43">
        <v>1090</v>
      </c>
      <c r="F14" s="145">
        <v>630</v>
      </c>
      <c r="G14" s="145">
        <v>2206</v>
      </c>
      <c r="H14" s="38">
        <v>866</v>
      </c>
      <c r="I14" s="38">
        <v>2040</v>
      </c>
      <c r="J14" s="38">
        <v>1862</v>
      </c>
      <c r="K14" s="38">
        <v>1531</v>
      </c>
      <c r="L14" s="38">
        <v>1209</v>
      </c>
      <c r="M14" s="38">
        <v>731</v>
      </c>
      <c r="N14" s="38">
        <v>1215</v>
      </c>
      <c r="O14" s="38">
        <v>998</v>
      </c>
      <c r="P14" s="38">
        <v>1335</v>
      </c>
      <c r="Q14" s="38">
        <v>2175</v>
      </c>
      <c r="R14" s="38"/>
      <c r="S14" s="65"/>
    </row>
    <row r="15" spans="1:19" ht="12.75">
      <c r="A15" s="40" t="s">
        <v>98</v>
      </c>
      <c r="B15" s="101"/>
      <c r="C15" s="129">
        <f>E15-'[1]Denmark'!E15</f>
        <v>0</v>
      </c>
      <c r="D15" s="38">
        <f>F15-'[1]Denmark'!F15</f>
        <v>0</v>
      </c>
      <c r="E15" s="43"/>
      <c r="F15" s="145"/>
      <c r="G15" s="145"/>
      <c r="H15" s="38"/>
      <c r="I15" s="38"/>
      <c r="J15" s="38"/>
      <c r="K15" s="38">
        <v>0</v>
      </c>
      <c r="L15" s="38"/>
      <c r="M15" s="38"/>
      <c r="N15" s="38"/>
      <c r="O15" s="38"/>
      <c r="P15" s="38">
        <v>0</v>
      </c>
      <c r="Q15" s="38">
        <v>0</v>
      </c>
      <c r="R15" s="38"/>
      <c r="S15" s="65"/>
    </row>
    <row r="16" spans="1:19" ht="12.75">
      <c r="A16" s="40" t="s">
        <v>13</v>
      </c>
      <c r="B16" s="101"/>
      <c r="C16" s="129">
        <f>E16-'[1]Denmark'!E16</f>
        <v>0</v>
      </c>
      <c r="D16" s="38">
        <f>F16-'[1]Denmark'!F16</f>
        <v>0</v>
      </c>
      <c r="E16" s="43"/>
      <c r="F16" s="145"/>
      <c r="G16" s="145"/>
      <c r="H16" s="38"/>
      <c r="I16" s="38"/>
      <c r="J16" s="38"/>
      <c r="K16" s="38">
        <v>0</v>
      </c>
      <c r="L16" s="38"/>
      <c r="M16" s="38"/>
      <c r="N16" s="38"/>
      <c r="O16" s="38"/>
      <c r="P16" s="38">
        <v>31</v>
      </c>
      <c r="Q16" s="38">
        <v>33</v>
      </c>
      <c r="R16" s="38"/>
      <c r="S16" s="65"/>
    </row>
    <row r="17" spans="1:19" ht="12.75">
      <c r="A17" s="40" t="s">
        <v>35</v>
      </c>
      <c r="B17" s="101"/>
      <c r="C17" s="129">
        <f>E17-'[1]Denmark'!E17</f>
        <v>0</v>
      </c>
      <c r="D17" s="38">
        <f>F17-'[1]Denmark'!F17</f>
        <v>0</v>
      </c>
      <c r="E17" s="43"/>
      <c r="F17" s="145"/>
      <c r="G17" s="145">
        <v>8</v>
      </c>
      <c r="H17" s="38">
        <v>0</v>
      </c>
      <c r="I17" s="38">
        <v>11</v>
      </c>
      <c r="J17" s="38"/>
      <c r="K17" s="38">
        <v>0</v>
      </c>
      <c r="L17" s="38">
        <v>0</v>
      </c>
      <c r="M17" s="38"/>
      <c r="N17" s="38"/>
      <c r="O17" s="38"/>
      <c r="P17" s="38"/>
      <c r="Q17" s="38"/>
      <c r="R17" s="38"/>
      <c r="S17" s="65"/>
    </row>
    <row r="18" spans="1:19" ht="12.75">
      <c r="A18" s="40" t="s">
        <v>87</v>
      </c>
      <c r="B18" s="101">
        <f>(E18-F18)/F18</f>
        <v>-0.16061606160616063</v>
      </c>
      <c r="C18" s="129">
        <f>E18-'[1]Denmark'!E18</f>
        <v>-304</v>
      </c>
      <c r="D18" s="38">
        <f>F18-'[1]Denmark'!F18</f>
        <v>-368</v>
      </c>
      <c r="E18" s="43">
        <v>763</v>
      </c>
      <c r="F18" s="145">
        <v>909</v>
      </c>
      <c r="G18" s="145">
        <v>1948</v>
      </c>
      <c r="H18" s="38">
        <v>685</v>
      </c>
      <c r="I18" s="38">
        <v>1022</v>
      </c>
      <c r="J18" s="38">
        <v>1019</v>
      </c>
      <c r="K18" s="38">
        <v>786</v>
      </c>
      <c r="L18" s="38">
        <v>687</v>
      </c>
      <c r="M18" s="38">
        <v>659</v>
      </c>
      <c r="N18" s="38">
        <v>641</v>
      </c>
      <c r="O18" s="38">
        <v>337</v>
      </c>
      <c r="P18" s="38">
        <v>290</v>
      </c>
      <c r="Q18" s="38">
        <v>110</v>
      </c>
      <c r="R18" s="38"/>
      <c r="S18" s="65"/>
    </row>
    <row r="19" spans="1:19" ht="13.5" thickBot="1">
      <c r="A19" s="41" t="s">
        <v>6</v>
      </c>
      <c r="B19" s="101">
        <f>(E19-F19)/F19</f>
        <v>-1</v>
      </c>
      <c r="C19" s="130">
        <f>E19-'[1]Denmark'!E19</f>
        <v>-225</v>
      </c>
      <c r="D19" s="38">
        <f>F19-'[1]Denmark'!F19</f>
        <v>-246</v>
      </c>
      <c r="E19" s="43"/>
      <c r="F19" s="145">
        <v>66</v>
      </c>
      <c r="G19" s="145">
        <v>88</v>
      </c>
      <c r="H19" s="38">
        <v>0</v>
      </c>
      <c r="I19" s="37">
        <v>103</v>
      </c>
      <c r="J19" s="37">
        <v>45</v>
      </c>
      <c r="K19" s="37">
        <v>76</v>
      </c>
      <c r="L19" s="37">
        <v>96</v>
      </c>
      <c r="M19" s="37">
        <v>99</v>
      </c>
      <c r="N19" s="37">
        <v>24</v>
      </c>
      <c r="O19" s="37">
        <v>62</v>
      </c>
      <c r="P19" s="37">
        <v>452</v>
      </c>
      <c r="Q19" s="37">
        <v>106</v>
      </c>
      <c r="R19" s="37">
        <v>110</v>
      </c>
      <c r="S19" s="66">
        <v>115</v>
      </c>
    </row>
    <row r="20" spans="1:19" ht="13.5" thickBot="1">
      <c r="A20" s="42" t="s">
        <v>92</v>
      </c>
      <c r="B20" s="143">
        <f>(E20-F20)/F20</f>
        <v>0.1384967569629912</v>
      </c>
      <c r="C20" s="70">
        <f>E20-'[1]Denmark'!E20</f>
        <v>-1825</v>
      </c>
      <c r="D20" s="46">
        <f>F20-'[1]Denmark'!F20</f>
        <v>-1869</v>
      </c>
      <c r="E20" s="45">
        <f>SUM(E2:E19)</f>
        <v>2984</v>
      </c>
      <c r="F20" s="146">
        <f>SUM(F2:F19)</f>
        <v>2621</v>
      </c>
      <c r="G20" s="146">
        <f>SUM(G2:G19)</f>
        <v>7000</v>
      </c>
      <c r="H20" s="46">
        <v>2364</v>
      </c>
      <c r="I20" s="46">
        <f>SUM(I2:I19)</f>
        <v>5558</v>
      </c>
      <c r="J20" s="46">
        <f>SUM(J2:J19)</f>
        <v>5456</v>
      </c>
      <c r="K20" s="46">
        <f>SUM(K2:K19)</f>
        <v>3917</v>
      </c>
      <c r="L20" s="46">
        <f>SUM(L2:L19)</f>
        <v>3227</v>
      </c>
      <c r="M20" s="46">
        <f>SUM(M2:M19)</f>
        <v>2276</v>
      </c>
      <c r="N20" s="46">
        <f aca="true" t="shared" si="0" ref="N20:S20">SUM(N2:N19)</f>
        <v>2637</v>
      </c>
      <c r="O20" s="46">
        <f t="shared" si="0"/>
        <v>1936</v>
      </c>
      <c r="P20" s="46">
        <f t="shared" si="0"/>
        <v>3212</v>
      </c>
      <c r="Q20" s="46">
        <f t="shared" si="0"/>
        <v>3513</v>
      </c>
      <c r="R20" s="46">
        <f t="shared" si="0"/>
        <v>1827</v>
      </c>
      <c r="S20" s="35">
        <f t="shared" si="0"/>
        <v>1280</v>
      </c>
    </row>
    <row r="22" spans="2:19" ht="13.5" thickBot="1">
      <c r="B22" s="3"/>
      <c r="C22" s="3"/>
      <c r="D22" s="3"/>
      <c r="E22" s="3"/>
      <c r="F22" s="155"/>
      <c r="G22" s="15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52" customFormat="1" ht="13.5" thickBot="1">
      <c r="A23" s="53" t="s">
        <v>122</v>
      </c>
      <c r="B23" s="24" t="s">
        <v>175</v>
      </c>
      <c r="C23" s="49" t="s">
        <v>176</v>
      </c>
      <c r="D23" s="25" t="s">
        <v>170</v>
      </c>
      <c r="E23" s="115">
        <v>44256</v>
      </c>
      <c r="F23" s="147">
        <v>43891</v>
      </c>
      <c r="G23" s="147">
        <v>43525</v>
      </c>
      <c r="H23" s="25">
        <v>43160</v>
      </c>
      <c r="I23" s="25">
        <v>42795</v>
      </c>
      <c r="J23" s="25">
        <v>42430</v>
      </c>
      <c r="K23" s="25">
        <f>K1</f>
        <v>42064</v>
      </c>
      <c r="L23" s="25">
        <v>41699</v>
      </c>
      <c r="M23" s="25">
        <v>41334</v>
      </c>
      <c r="N23" s="25">
        <v>40969</v>
      </c>
      <c r="O23" s="25">
        <v>40603</v>
      </c>
      <c r="P23" s="25">
        <v>40238</v>
      </c>
      <c r="Q23" s="25">
        <v>39873</v>
      </c>
      <c r="R23" s="25">
        <v>39508</v>
      </c>
      <c r="S23" s="26">
        <v>39142</v>
      </c>
    </row>
    <row r="24" spans="1:19" s="52" customFormat="1" ht="12.75">
      <c r="A24" s="54" t="s">
        <v>7</v>
      </c>
      <c r="B24" s="55">
        <f>(E24-F24)/F24</f>
        <v>0</v>
      </c>
      <c r="C24" s="129">
        <f>E24-'[1]Denmark'!E24</f>
        <v>-50</v>
      </c>
      <c r="D24" s="57">
        <f>F24-'[1]Denmark'!F24</f>
        <v>-6</v>
      </c>
      <c r="E24" s="56">
        <v>4</v>
      </c>
      <c r="F24" s="153">
        <v>4</v>
      </c>
      <c r="G24" s="153">
        <v>167</v>
      </c>
      <c r="H24" s="57">
        <v>0</v>
      </c>
      <c r="I24" s="57"/>
      <c r="J24" s="57">
        <v>25</v>
      </c>
      <c r="K24" s="57">
        <v>0</v>
      </c>
      <c r="L24" s="57">
        <v>52</v>
      </c>
      <c r="M24" s="57">
        <v>0</v>
      </c>
      <c r="N24" s="57">
        <v>33</v>
      </c>
      <c r="O24" s="57">
        <v>0</v>
      </c>
      <c r="P24" s="57">
        <v>0</v>
      </c>
      <c r="Q24" s="57">
        <f>SUM(T24:U24)</f>
        <v>0</v>
      </c>
      <c r="R24" s="57">
        <f>B39</f>
        <v>0</v>
      </c>
      <c r="S24" s="67">
        <f>B61</f>
        <v>0</v>
      </c>
    </row>
    <row r="25" spans="1:19" s="52" customFormat="1" ht="12.75">
      <c r="A25" s="54" t="s">
        <v>154</v>
      </c>
      <c r="B25" s="55"/>
      <c r="C25" s="129">
        <f>E25-'[1]Denmark'!E25</f>
        <v>0</v>
      </c>
      <c r="D25" s="57">
        <f>F25-'[1]Denmark'!F25</f>
        <v>0</v>
      </c>
      <c r="E25" s="56"/>
      <c r="F25" s="153"/>
      <c r="G25" s="153"/>
      <c r="H25" s="57"/>
      <c r="I25" s="57"/>
      <c r="J25" s="57"/>
      <c r="K25" s="57">
        <v>0</v>
      </c>
      <c r="L25" s="57"/>
      <c r="M25" s="57"/>
      <c r="N25" s="57"/>
      <c r="O25" s="57"/>
      <c r="P25" s="57"/>
      <c r="Q25" s="57"/>
      <c r="R25" s="57"/>
      <c r="S25" s="67"/>
    </row>
    <row r="26" spans="1:19" s="52" customFormat="1" ht="13.5" thickBot="1">
      <c r="A26" s="58" t="s">
        <v>6</v>
      </c>
      <c r="B26" s="55">
        <f>(E26-F26)/F26</f>
        <v>-0.4230769230769231</v>
      </c>
      <c r="C26" s="130">
        <f>E26-'[1]Denmark'!E26</f>
        <v>0</v>
      </c>
      <c r="D26" s="57">
        <f>F26-'[1]Denmark'!F26</f>
        <v>0</v>
      </c>
      <c r="E26" s="56">
        <v>15</v>
      </c>
      <c r="F26" s="153">
        <v>26</v>
      </c>
      <c r="G26" s="153">
        <v>93</v>
      </c>
      <c r="H26" s="57">
        <v>0</v>
      </c>
      <c r="I26" s="60">
        <v>22</v>
      </c>
      <c r="J26" s="60">
        <v>47</v>
      </c>
      <c r="K26" s="60">
        <v>5</v>
      </c>
      <c r="L26" s="60">
        <v>26</v>
      </c>
      <c r="M26" s="60">
        <v>0</v>
      </c>
      <c r="N26" s="60">
        <v>0</v>
      </c>
      <c r="O26" s="60">
        <v>0</v>
      </c>
      <c r="P26" s="60">
        <v>0</v>
      </c>
      <c r="Q26" s="60">
        <f>SUM(T26:U26)</f>
        <v>0</v>
      </c>
      <c r="R26" s="60">
        <v>0</v>
      </c>
      <c r="S26" s="68">
        <f>B70</f>
        <v>0</v>
      </c>
    </row>
    <row r="27" spans="1:19" s="52" customFormat="1" ht="13.5" thickBot="1">
      <c r="A27" s="61" t="s">
        <v>92</v>
      </c>
      <c r="B27" s="85">
        <f>(E27-F27)/F27</f>
        <v>-0.36666666666666664</v>
      </c>
      <c r="C27" s="70">
        <f>E27-'[1]Denmark'!E27</f>
        <v>-50</v>
      </c>
      <c r="D27" s="80">
        <f>F27-'[1]Denmark'!F27</f>
        <v>-6</v>
      </c>
      <c r="E27" s="63">
        <f>SUM(E24:E26)</f>
        <v>19</v>
      </c>
      <c r="F27" s="154">
        <f>SUM(F24:F26)</f>
        <v>30</v>
      </c>
      <c r="G27" s="154">
        <f>SUM(G24:G26)</f>
        <v>260</v>
      </c>
      <c r="H27" s="80">
        <v>0</v>
      </c>
      <c r="I27" s="80">
        <f aca="true" t="shared" si="1" ref="I27:N27">SUM(I24:I26)</f>
        <v>22</v>
      </c>
      <c r="J27" s="80">
        <f t="shared" si="1"/>
        <v>72</v>
      </c>
      <c r="K27" s="80">
        <f t="shared" si="1"/>
        <v>5</v>
      </c>
      <c r="L27" s="80">
        <f t="shared" si="1"/>
        <v>78</v>
      </c>
      <c r="M27" s="80">
        <f t="shared" si="1"/>
        <v>0</v>
      </c>
      <c r="N27" s="80">
        <f t="shared" si="1"/>
        <v>33</v>
      </c>
      <c r="O27" s="80">
        <v>0</v>
      </c>
      <c r="P27" s="80">
        <v>0</v>
      </c>
      <c r="Q27" s="80">
        <f>SUM(Q24:Q26)</f>
        <v>0</v>
      </c>
      <c r="R27" s="64">
        <f>SUM(R24:R26)</f>
        <v>0</v>
      </c>
      <c r="S27" s="69">
        <f>SUM(S24:S26)</f>
        <v>0</v>
      </c>
    </row>
    <row r="28" spans="6:7" s="52" customFormat="1" ht="12.75">
      <c r="F28" s="158"/>
      <c r="G28" s="158"/>
    </row>
    <row r="29" spans="6:7" s="52" customFormat="1" ht="12.75">
      <c r="F29" s="158"/>
      <c r="G29" s="158"/>
    </row>
    <row r="30" spans="6:7" s="52" customFormat="1" ht="12.75">
      <c r="F30" s="158"/>
      <c r="G30" s="158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E20" sqref="E20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7109375" style="0" bestFit="1" customWidth="1"/>
    <col min="4" max="4" width="11.28125" style="0" bestFit="1" customWidth="1"/>
    <col min="5" max="5" width="11.28125" style="0" customWidth="1"/>
    <col min="6" max="7" width="11.28125" style="152" customWidth="1"/>
    <col min="8" max="8" width="11.28125" style="0" customWidth="1"/>
    <col min="9" max="16" width="10.7109375" style="0" customWidth="1"/>
  </cols>
  <sheetData>
    <row r="1" spans="1:16" ht="13.5" thickBot="1">
      <c r="A1" s="39" t="s">
        <v>24</v>
      </c>
      <c r="B1" s="24" t="s">
        <v>175</v>
      </c>
      <c r="C1" s="49" t="s">
        <v>176</v>
      </c>
      <c r="D1" s="25" t="s">
        <v>170</v>
      </c>
      <c r="E1" s="115">
        <v>44256</v>
      </c>
      <c r="F1" s="147">
        <v>43891</v>
      </c>
      <c r="G1" s="147">
        <v>43525</v>
      </c>
      <c r="H1" s="25">
        <v>43160</v>
      </c>
      <c r="I1" s="25">
        <v>42795</v>
      </c>
      <c r="J1" s="25">
        <v>42430</v>
      </c>
      <c r="K1" s="25">
        <v>42064</v>
      </c>
      <c r="L1" s="25">
        <v>41699</v>
      </c>
      <c r="M1" s="25">
        <v>41334</v>
      </c>
      <c r="N1" s="25">
        <v>40969</v>
      </c>
      <c r="O1" s="25">
        <v>40603</v>
      </c>
      <c r="P1" s="26">
        <v>40238</v>
      </c>
    </row>
    <row r="2" spans="1:16" ht="12.75">
      <c r="A2" s="40" t="s">
        <v>121</v>
      </c>
      <c r="B2" s="47">
        <f>(E2-F2)/F2</f>
        <v>0.06971531046850482</v>
      </c>
      <c r="C2" s="129">
        <f>E2-'[1]France'!E2</f>
        <v>-1814</v>
      </c>
      <c r="D2" s="139">
        <f>F2-'[1]France'!F2</f>
        <v>-1149</v>
      </c>
      <c r="E2" s="43">
        <v>4772</v>
      </c>
      <c r="F2" s="145">
        <v>4461</v>
      </c>
      <c r="G2" s="145">
        <v>3790</v>
      </c>
      <c r="H2" s="38">
        <v>3540</v>
      </c>
      <c r="I2" s="94">
        <v>7242</v>
      </c>
      <c r="J2" s="94">
        <v>5857</v>
      </c>
      <c r="K2" s="94">
        <v>9462</v>
      </c>
      <c r="L2" s="94">
        <v>13473</v>
      </c>
      <c r="M2" s="94">
        <v>6067</v>
      </c>
      <c r="N2" s="94">
        <v>10841</v>
      </c>
      <c r="O2" s="94">
        <v>9155</v>
      </c>
      <c r="P2" s="91">
        <v>8266</v>
      </c>
    </row>
    <row r="3" spans="1:16" ht="12.75">
      <c r="A3" s="40" t="s">
        <v>126</v>
      </c>
      <c r="B3" s="47">
        <f aca="true" t="shared" si="0" ref="B3:B26">(E3-F3)/F3</f>
        <v>-0.18019645478152874</v>
      </c>
      <c r="C3" s="129">
        <f>E3-'[1]France'!E3</f>
        <v>-3706</v>
      </c>
      <c r="D3" s="139">
        <f>F3-'[1]France'!F3</f>
        <v>-3918</v>
      </c>
      <c r="E3" s="43">
        <v>14522</v>
      </c>
      <c r="F3" s="145">
        <v>17714</v>
      </c>
      <c r="G3" s="145">
        <v>14700</v>
      </c>
      <c r="H3" s="38">
        <v>11735</v>
      </c>
      <c r="I3" s="94">
        <v>14830</v>
      </c>
      <c r="J3" s="94">
        <v>15209</v>
      </c>
      <c r="K3" s="94">
        <v>12017</v>
      </c>
      <c r="L3" s="94">
        <v>20193</v>
      </c>
      <c r="M3" s="94">
        <v>10189</v>
      </c>
      <c r="N3" s="94">
        <v>14182</v>
      </c>
      <c r="O3" s="94">
        <v>13062</v>
      </c>
      <c r="P3" s="91">
        <v>13509</v>
      </c>
    </row>
    <row r="4" spans="1:16" ht="12.75">
      <c r="A4" s="40" t="s">
        <v>4</v>
      </c>
      <c r="B4" s="47">
        <f t="shared" si="0"/>
        <v>-0.671484888304862</v>
      </c>
      <c r="C4" s="129">
        <f>E4-'[1]France'!E4</f>
        <v>-504</v>
      </c>
      <c r="D4" s="139">
        <f>F4-'[1]France'!F4</f>
        <v>-368</v>
      </c>
      <c r="E4" s="43">
        <v>250</v>
      </c>
      <c r="F4" s="145">
        <v>761</v>
      </c>
      <c r="G4" s="145">
        <v>1309</v>
      </c>
      <c r="H4" s="38">
        <v>171</v>
      </c>
      <c r="I4" s="38">
        <v>1141</v>
      </c>
      <c r="J4" s="38">
        <v>1478</v>
      </c>
      <c r="K4" s="38">
        <v>443</v>
      </c>
      <c r="L4" s="38">
        <v>691</v>
      </c>
      <c r="M4" s="38">
        <v>31</v>
      </c>
      <c r="N4" s="38">
        <v>2408</v>
      </c>
      <c r="O4" s="38">
        <v>1726</v>
      </c>
      <c r="P4" s="65">
        <v>3185</v>
      </c>
    </row>
    <row r="5" spans="1:16" ht="12.75">
      <c r="A5" s="40" t="s">
        <v>11</v>
      </c>
      <c r="B5" s="47">
        <f t="shared" si="0"/>
        <v>-0.3495081634722645</v>
      </c>
      <c r="C5" s="129">
        <f>E5-'[1]France'!E5</f>
        <v>-2320</v>
      </c>
      <c r="D5" s="139">
        <f>F5-'[1]France'!F5</f>
        <v>-4283</v>
      </c>
      <c r="E5" s="43">
        <v>12829</v>
      </c>
      <c r="F5" s="145">
        <v>19722</v>
      </c>
      <c r="G5" s="145">
        <v>16141</v>
      </c>
      <c r="H5" s="38">
        <v>13363</v>
      </c>
      <c r="I5" s="38">
        <v>16972</v>
      </c>
      <c r="J5" s="38">
        <v>17643</v>
      </c>
      <c r="K5" s="38">
        <v>14887</v>
      </c>
      <c r="L5" s="38">
        <v>25119</v>
      </c>
      <c r="M5" s="38">
        <v>8751</v>
      </c>
      <c r="N5" s="38">
        <v>28355</v>
      </c>
      <c r="O5" s="38">
        <v>23051</v>
      </c>
      <c r="P5" s="65">
        <v>35392</v>
      </c>
    </row>
    <row r="6" spans="1:16" ht="12.75">
      <c r="A6" s="40" t="s">
        <v>29</v>
      </c>
      <c r="B6" s="47"/>
      <c r="C6" s="129">
        <f>E6-'[1]France'!E6</f>
        <v>0</v>
      </c>
      <c r="D6" s="139">
        <f>F6-'[1]France'!F6</f>
        <v>0</v>
      </c>
      <c r="E6" s="43"/>
      <c r="F6" s="145">
        <v>0</v>
      </c>
      <c r="G6" s="145"/>
      <c r="H6" s="38"/>
      <c r="I6" s="38"/>
      <c r="J6" s="38"/>
      <c r="K6" s="38"/>
      <c r="L6" s="38"/>
      <c r="M6" s="38"/>
      <c r="N6" s="38">
        <v>492</v>
      </c>
      <c r="O6" s="38">
        <v>1221</v>
      </c>
      <c r="P6" s="65">
        <v>2018</v>
      </c>
    </row>
    <row r="7" spans="1:16" ht="12.75">
      <c r="A7" s="40" t="s">
        <v>149</v>
      </c>
      <c r="B7" s="47">
        <f t="shared" si="0"/>
        <v>-0.2884346121534584</v>
      </c>
      <c r="C7" s="129">
        <f>E7-'[1]France'!E7</f>
        <v>-808</v>
      </c>
      <c r="D7" s="139">
        <f>F7-'[1]France'!F7</f>
        <v>-511</v>
      </c>
      <c r="E7" s="43">
        <v>2541</v>
      </c>
      <c r="F7" s="145">
        <v>3571</v>
      </c>
      <c r="G7" s="145">
        <v>4106</v>
      </c>
      <c r="H7" s="38">
        <v>3293</v>
      </c>
      <c r="I7" s="38">
        <v>3509</v>
      </c>
      <c r="J7" s="38">
        <v>3929</v>
      </c>
      <c r="K7" s="38">
        <v>2000</v>
      </c>
      <c r="L7" s="38">
        <v>1607</v>
      </c>
      <c r="M7" s="38">
        <v>1039</v>
      </c>
      <c r="N7" s="38">
        <v>1684</v>
      </c>
      <c r="O7" s="38">
        <v>1861</v>
      </c>
      <c r="P7" s="65">
        <v>60</v>
      </c>
    </row>
    <row r="8" spans="1:16" ht="12.75">
      <c r="A8" s="40" t="s">
        <v>61</v>
      </c>
      <c r="B8" s="47">
        <f t="shared" si="0"/>
        <v>0.06293283130504942</v>
      </c>
      <c r="C8" s="129">
        <f>E8-'[1]France'!E8</f>
        <v>-22980</v>
      </c>
      <c r="D8" s="139">
        <f>F8-'[1]France'!F8</f>
        <v>-22600</v>
      </c>
      <c r="E8" s="43">
        <v>63236</v>
      </c>
      <c r="F8" s="145">
        <v>59492</v>
      </c>
      <c r="G8" s="145">
        <v>49602</v>
      </c>
      <c r="H8" s="38">
        <v>46253</v>
      </c>
      <c r="I8" s="38">
        <v>54507</v>
      </c>
      <c r="J8" s="38">
        <v>51178</v>
      </c>
      <c r="K8" s="38">
        <v>45654</v>
      </c>
      <c r="L8" s="38">
        <v>43590</v>
      </c>
      <c r="M8" s="38">
        <v>24402</v>
      </c>
      <c r="N8" s="38">
        <v>32543</v>
      </c>
      <c r="O8" s="38">
        <v>33100</v>
      </c>
      <c r="P8" s="65">
        <v>29577</v>
      </c>
    </row>
    <row r="9" spans="1:16" ht="12.75">
      <c r="A9" s="40" t="s">
        <v>2</v>
      </c>
      <c r="B9" s="47">
        <f t="shared" si="0"/>
        <v>-0.46780551905387646</v>
      </c>
      <c r="C9" s="129">
        <f>E9-'[1]France'!E9</f>
        <v>-333</v>
      </c>
      <c r="D9" s="139">
        <f>F9-'[1]France'!F9</f>
        <v>-411</v>
      </c>
      <c r="E9" s="43">
        <v>405</v>
      </c>
      <c r="F9" s="145">
        <v>761</v>
      </c>
      <c r="G9" s="145">
        <v>831</v>
      </c>
      <c r="H9" s="38">
        <v>438</v>
      </c>
      <c r="I9" s="38">
        <v>720</v>
      </c>
      <c r="J9" s="38">
        <v>280</v>
      </c>
      <c r="K9" s="38">
        <v>276</v>
      </c>
      <c r="L9" s="38">
        <v>446</v>
      </c>
      <c r="M9" s="38">
        <v>438</v>
      </c>
      <c r="N9" s="38">
        <v>486</v>
      </c>
      <c r="O9" s="38">
        <v>514</v>
      </c>
      <c r="P9" s="65">
        <v>586</v>
      </c>
    </row>
    <row r="10" spans="1:16" ht="12.75">
      <c r="A10" s="40" t="s">
        <v>12</v>
      </c>
      <c r="B10" s="47">
        <f t="shared" si="0"/>
        <v>-0.30822839565509946</v>
      </c>
      <c r="C10" s="129">
        <f>E10-'[1]France'!E10</f>
        <v>-3726</v>
      </c>
      <c r="D10" s="139">
        <f>F10-'[1]France'!F10</f>
        <v>-3156</v>
      </c>
      <c r="E10" s="43">
        <v>14393</v>
      </c>
      <c r="F10" s="145">
        <v>20806</v>
      </c>
      <c r="G10" s="145">
        <v>10952</v>
      </c>
      <c r="H10" s="38">
        <v>15882</v>
      </c>
      <c r="I10" s="38">
        <v>11679</v>
      </c>
      <c r="J10" s="38">
        <v>13454</v>
      </c>
      <c r="K10" s="38">
        <v>9296</v>
      </c>
      <c r="L10" s="38">
        <v>18330</v>
      </c>
      <c r="M10" s="38">
        <v>9696</v>
      </c>
      <c r="N10" s="38">
        <v>13636</v>
      </c>
      <c r="O10" s="38">
        <v>15507</v>
      </c>
      <c r="P10" s="65">
        <v>11788</v>
      </c>
    </row>
    <row r="11" spans="1:16" ht="12.75">
      <c r="A11" s="40" t="s">
        <v>9</v>
      </c>
      <c r="B11" s="47">
        <f t="shared" si="0"/>
        <v>0.1416452052719285</v>
      </c>
      <c r="C11" s="129">
        <f>E11-'[1]France'!E11</f>
        <v>-18362</v>
      </c>
      <c r="D11" s="139">
        <f>F11-'[1]France'!F11</f>
        <v>-19966</v>
      </c>
      <c r="E11" s="43">
        <v>60288</v>
      </c>
      <c r="F11" s="145">
        <v>52808</v>
      </c>
      <c r="G11" s="145">
        <v>54408</v>
      </c>
      <c r="H11" s="38">
        <v>36939</v>
      </c>
      <c r="I11" s="38">
        <v>31583</v>
      </c>
      <c r="J11" s="38">
        <v>18449</v>
      </c>
      <c r="K11" s="38">
        <v>21002</v>
      </c>
      <c r="L11" s="38">
        <v>24458</v>
      </c>
      <c r="M11" s="38">
        <v>13784</v>
      </c>
      <c r="N11" s="38">
        <v>18206</v>
      </c>
      <c r="O11" s="38">
        <v>22778</v>
      </c>
      <c r="P11" s="65">
        <v>19529</v>
      </c>
    </row>
    <row r="12" spans="1:16" ht="12.75">
      <c r="A12" s="40" t="s">
        <v>3</v>
      </c>
      <c r="B12" s="47">
        <f t="shared" si="0"/>
        <v>-0.34971492650237784</v>
      </c>
      <c r="C12" s="129">
        <f>E12-'[1]France'!E12</f>
        <v>-19465</v>
      </c>
      <c r="D12" s="139">
        <f>F12-'[1]France'!F12</f>
        <v>-22694</v>
      </c>
      <c r="E12" s="43">
        <v>96263</v>
      </c>
      <c r="F12" s="145">
        <v>148032</v>
      </c>
      <c r="G12" s="145">
        <v>135684</v>
      </c>
      <c r="H12" s="38">
        <v>131688</v>
      </c>
      <c r="I12" s="38">
        <v>156933</v>
      </c>
      <c r="J12" s="38">
        <v>148979</v>
      </c>
      <c r="K12" s="38">
        <v>146294</v>
      </c>
      <c r="L12" s="38">
        <v>181861</v>
      </c>
      <c r="M12" s="38">
        <v>81551</v>
      </c>
      <c r="N12" s="38">
        <v>150988</v>
      </c>
      <c r="O12" s="38">
        <v>163318</v>
      </c>
      <c r="P12" s="65">
        <v>175045</v>
      </c>
    </row>
    <row r="13" spans="1:16" ht="12.75">
      <c r="A13" s="40" t="s">
        <v>137</v>
      </c>
      <c r="B13" s="47">
        <f t="shared" si="0"/>
        <v>-0.1761637239165329</v>
      </c>
      <c r="C13" s="129">
        <f>E13-'[1]France'!E13</f>
        <v>-448</v>
      </c>
      <c r="D13" s="139">
        <f>F13-'[1]France'!F13</f>
        <v>-295</v>
      </c>
      <c r="E13" s="43">
        <v>2053</v>
      </c>
      <c r="F13" s="145">
        <v>2492</v>
      </c>
      <c r="G13" s="145">
        <v>1795</v>
      </c>
      <c r="H13" s="38">
        <v>1272</v>
      </c>
      <c r="I13" s="38">
        <v>1341</v>
      </c>
      <c r="J13" s="38">
        <v>1619</v>
      </c>
      <c r="K13" s="38">
        <v>1562</v>
      </c>
      <c r="L13" s="38">
        <v>2048</v>
      </c>
      <c r="M13" s="38">
        <v>1467</v>
      </c>
      <c r="N13" s="38">
        <v>1790</v>
      </c>
      <c r="O13" s="38">
        <v>1567</v>
      </c>
      <c r="P13" s="65">
        <v>1521</v>
      </c>
    </row>
    <row r="14" spans="1:16" ht="12.75">
      <c r="A14" s="40" t="s">
        <v>17</v>
      </c>
      <c r="B14" s="47">
        <f t="shared" si="0"/>
        <v>0.06518762618644265</v>
      </c>
      <c r="C14" s="129">
        <f>E14-'[1]France'!E14</f>
        <v>-7870</v>
      </c>
      <c r="D14" s="139">
        <f>F14-'[1]France'!F14</f>
        <v>-10993</v>
      </c>
      <c r="E14" s="43">
        <v>45900</v>
      </c>
      <c r="F14" s="145">
        <v>43091</v>
      </c>
      <c r="G14" s="145">
        <v>39985</v>
      </c>
      <c r="H14" s="38">
        <v>43109</v>
      </c>
      <c r="I14" s="38">
        <v>34818</v>
      </c>
      <c r="J14" s="38">
        <v>48837</v>
      </c>
      <c r="K14" s="38">
        <v>38820</v>
      </c>
      <c r="L14" s="38">
        <v>50373</v>
      </c>
      <c r="M14" s="38">
        <v>28061</v>
      </c>
      <c r="N14" s="38">
        <v>40976</v>
      </c>
      <c r="O14" s="38">
        <v>34115</v>
      </c>
      <c r="P14" s="65">
        <v>34454</v>
      </c>
    </row>
    <row r="15" spans="1:16" ht="12.75">
      <c r="A15" s="40" t="s">
        <v>129</v>
      </c>
      <c r="B15" s="47">
        <f t="shared" si="0"/>
        <v>-0.9139710942876806</v>
      </c>
      <c r="C15" s="129">
        <f>E15-'[1]France'!E15</f>
        <v>-505</v>
      </c>
      <c r="D15" s="139">
        <f>F15-'[1]France'!F15</f>
        <v>-1127</v>
      </c>
      <c r="E15" s="43">
        <v>375</v>
      </c>
      <c r="F15" s="145">
        <v>4359</v>
      </c>
      <c r="G15" s="145">
        <v>1405</v>
      </c>
      <c r="H15" s="38">
        <v>1614</v>
      </c>
      <c r="I15" s="38">
        <v>2880</v>
      </c>
      <c r="J15" s="38">
        <v>1516</v>
      </c>
      <c r="K15" s="38">
        <v>5075</v>
      </c>
      <c r="L15" s="38">
        <v>3704</v>
      </c>
      <c r="M15" s="38">
        <v>2313</v>
      </c>
      <c r="N15" s="38">
        <v>469</v>
      </c>
      <c r="O15" s="38">
        <v>1614</v>
      </c>
      <c r="P15" s="65">
        <v>388</v>
      </c>
    </row>
    <row r="16" spans="1:17" ht="12.75">
      <c r="A16" s="40" t="s">
        <v>10</v>
      </c>
      <c r="B16" s="47">
        <f t="shared" si="0"/>
        <v>-0.3626943005181347</v>
      </c>
      <c r="C16" s="129">
        <f>E16-'[1]France'!E16</f>
        <v>-234</v>
      </c>
      <c r="D16" s="139">
        <f>F16-'[1]France'!F16</f>
        <v>-35</v>
      </c>
      <c r="E16" s="43">
        <v>738</v>
      </c>
      <c r="F16" s="145">
        <v>1158</v>
      </c>
      <c r="G16" s="145">
        <v>1144</v>
      </c>
      <c r="H16" s="38">
        <v>909</v>
      </c>
      <c r="I16" s="38">
        <v>986</v>
      </c>
      <c r="J16" s="38">
        <v>857</v>
      </c>
      <c r="K16" s="38">
        <v>681</v>
      </c>
      <c r="L16" s="38">
        <v>1620</v>
      </c>
      <c r="M16" s="38">
        <v>809</v>
      </c>
      <c r="N16" s="38">
        <v>1696</v>
      </c>
      <c r="O16" s="38">
        <v>1466</v>
      </c>
      <c r="P16" s="65">
        <v>1974</v>
      </c>
      <c r="Q16" s="1"/>
    </row>
    <row r="17" spans="1:17" ht="12.75">
      <c r="A17" s="40" t="s">
        <v>128</v>
      </c>
      <c r="B17" s="47">
        <f t="shared" si="0"/>
        <v>-0.23934923479939335</v>
      </c>
      <c r="C17" s="129">
        <f>E17-'[1]France'!E17</f>
        <v>-4576</v>
      </c>
      <c r="D17" s="139">
        <f>F17-'[1]France'!F17</f>
        <v>-3246</v>
      </c>
      <c r="E17" s="43">
        <v>11034</v>
      </c>
      <c r="F17" s="145">
        <v>14506</v>
      </c>
      <c r="G17" s="145">
        <v>9758</v>
      </c>
      <c r="H17" s="38">
        <v>11003</v>
      </c>
      <c r="I17" s="38">
        <v>6905</v>
      </c>
      <c r="J17" s="38">
        <v>6442</v>
      </c>
      <c r="K17" s="38">
        <v>5070</v>
      </c>
      <c r="L17" s="38">
        <v>5166</v>
      </c>
      <c r="M17" s="38">
        <v>2259</v>
      </c>
      <c r="N17" s="38">
        <v>5388</v>
      </c>
      <c r="O17" s="38">
        <v>4143</v>
      </c>
      <c r="P17" s="65">
        <v>7927</v>
      </c>
      <c r="Q17" s="1"/>
    </row>
    <row r="18" spans="1:17" ht="12.75">
      <c r="A18" s="40" t="s">
        <v>27</v>
      </c>
      <c r="B18" s="47">
        <f t="shared" si="0"/>
        <v>-0.2664656015650473</v>
      </c>
      <c r="C18" s="129">
        <f>E18-'[1]France'!E18</f>
        <v>-1907</v>
      </c>
      <c r="D18" s="139">
        <f>F18-'[1]France'!F18</f>
        <v>-35</v>
      </c>
      <c r="E18" s="43">
        <v>8999</v>
      </c>
      <c r="F18" s="145">
        <v>12268</v>
      </c>
      <c r="G18" s="145">
        <v>10398</v>
      </c>
      <c r="H18" s="38">
        <v>7671</v>
      </c>
      <c r="I18" s="38">
        <v>8471</v>
      </c>
      <c r="J18" s="38">
        <v>7050</v>
      </c>
      <c r="K18" s="38">
        <v>3431</v>
      </c>
      <c r="L18" s="38">
        <v>5948</v>
      </c>
      <c r="M18" s="38">
        <v>2163</v>
      </c>
      <c r="N18" s="38">
        <v>4267</v>
      </c>
      <c r="O18" s="38">
        <v>6410</v>
      </c>
      <c r="P18" s="65">
        <v>9110</v>
      </c>
      <c r="Q18" s="1"/>
    </row>
    <row r="19" spans="1:16" ht="12.75">
      <c r="A19" s="40" t="s">
        <v>127</v>
      </c>
      <c r="B19" s="47">
        <f t="shared" si="0"/>
        <v>-0.3113476818637661</v>
      </c>
      <c r="C19" s="129">
        <f>E19-'[1]France'!E19</f>
        <v>8727</v>
      </c>
      <c r="D19" s="139">
        <f>F19-'[1]France'!F19</f>
        <v>12634</v>
      </c>
      <c r="E19" s="43">
        <v>8927</v>
      </c>
      <c r="F19" s="145">
        <v>12963</v>
      </c>
      <c r="G19" s="145">
        <v>10148</v>
      </c>
      <c r="H19" s="38">
        <v>9352</v>
      </c>
      <c r="I19" s="38">
        <v>9031</v>
      </c>
      <c r="J19" s="38">
        <v>8361</v>
      </c>
      <c r="K19" s="38">
        <v>5702</v>
      </c>
      <c r="L19" s="38">
        <v>11198</v>
      </c>
      <c r="M19" s="38">
        <v>3053</v>
      </c>
      <c r="N19" s="38">
        <v>4665</v>
      </c>
      <c r="O19" s="38">
        <v>7950</v>
      </c>
      <c r="P19" s="65">
        <v>10794</v>
      </c>
    </row>
    <row r="20" spans="1:16" ht="12.75">
      <c r="A20" s="40" t="s">
        <v>120</v>
      </c>
      <c r="B20" s="47">
        <f t="shared" si="0"/>
        <v>-0.36764705882352944</v>
      </c>
      <c r="C20" s="129">
        <f>E20-'[1]France'!E20</f>
        <v>-11039</v>
      </c>
      <c r="D20" s="139">
        <f>F20-'[1]France'!F20</f>
        <v>-11275</v>
      </c>
      <c r="E20" s="43">
        <v>129</v>
      </c>
      <c r="F20" s="145">
        <v>204</v>
      </c>
      <c r="G20" s="145">
        <v>278</v>
      </c>
      <c r="H20" s="38">
        <v>0</v>
      </c>
      <c r="I20" s="38">
        <v>0</v>
      </c>
      <c r="J20" s="38">
        <v>47</v>
      </c>
      <c r="K20" s="38">
        <v>14</v>
      </c>
      <c r="L20" s="38">
        <v>113</v>
      </c>
      <c r="M20" s="38">
        <v>11</v>
      </c>
      <c r="N20" s="38">
        <v>455</v>
      </c>
      <c r="O20" s="38">
        <v>70</v>
      </c>
      <c r="P20" s="65">
        <v>46</v>
      </c>
    </row>
    <row r="21" spans="1:16" ht="12.75">
      <c r="A21" s="40" t="s">
        <v>88</v>
      </c>
      <c r="B21" s="47">
        <f t="shared" si="0"/>
        <v>-0.0628585086042065</v>
      </c>
      <c r="C21" s="129">
        <f>E21-'[1]France'!E21</f>
        <v>-4963</v>
      </c>
      <c r="D21" s="139">
        <f>F21-'[1]France'!F21</f>
        <v>-10246</v>
      </c>
      <c r="E21" s="43">
        <v>7842</v>
      </c>
      <c r="F21" s="145">
        <v>8368</v>
      </c>
      <c r="G21" s="145">
        <v>7185</v>
      </c>
      <c r="H21" s="38">
        <v>5002</v>
      </c>
      <c r="I21" s="38">
        <v>5090</v>
      </c>
      <c r="J21" s="38">
        <v>7851</v>
      </c>
      <c r="K21" s="38">
        <v>6506</v>
      </c>
      <c r="L21" s="38">
        <v>12813</v>
      </c>
      <c r="M21" s="38">
        <v>1958</v>
      </c>
      <c r="N21" s="38">
        <v>10639</v>
      </c>
      <c r="O21" s="38">
        <v>9549</v>
      </c>
      <c r="P21" s="65">
        <v>9977</v>
      </c>
    </row>
    <row r="22" spans="1:16" ht="12.75">
      <c r="A22" s="40" t="s">
        <v>116</v>
      </c>
      <c r="B22" s="47">
        <f t="shared" si="0"/>
        <v>-0.6106106106106106</v>
      </c>
      <c r="C22" s="129">
        <f>E22-'[1]France'!E22</f>
        <v>-184</v>
      </c>
      <c r="D22" s="139">
        <f>F22-'[1]France'!F22</f>
        <v>-358</v>
      </c>
      <c r="E22" s="43">
        <v>389</v>
      </c>
      <c r="F22" s="145">
        <v>999</v>
      </c>
      <c r="G22" s="145">
        <v>409</v>
      </c>
      <c r="H22" s="38">
        <v>249</v>
      </c>
      <c r="I22" s="38">
        <v>98</v>
      </c>
      <c r="J22" s="38">
        <v>482</v>
      </c>
      <c r="K22" s="38">
        <v>100</v>
      </c>
      <c r="L22" s="38">
        <v>946</v>
      </c>
      <c r="M22" s="38">
        <v>192</v>
      </c>
      <c r="N22" s="38">
        <v>694</v>
      </c>
      <c r="O22" s="38">
        <v>387</v>
      </c>
      <c r="P22" s="65">
        <v>1032</v>
      </c>
    </row>
    <row r="23" spans="1:16" ht="12.75">
      <c r="A23" s="40" t="s">
        <v>130</v>
      </c>
      <c r="B23" s="47">
        <f t="shared" si="0"/>
        <v>-0.08205962059620596</v>
      </c>
      <c r="C23" s="129">
        <f>E23-'[1]France'!E23</f>
        <v>-686</v>
      </c>
      <c r="D23" s="139">
        <f>F23-'[1]France'!F23</f>
        <v>-947</v>
      </c>
      <c r="E23" s="43">
        <v>8468</v>
      </c>
      <c r="F23" s="145">
        <v>9225</v>
      </c>
      <c r="G23" s="145">
        <v>8522</v>
      </c>
      <c r="H23" s="38">
        <v>6714</v>
      </c>
      <c r="I23" s="38">
        <v>5319</v>
      </c>
      <c r="J23" s="38">
        <v>4508</v>
      </c>
      <c r="K23" s="38">
        <v>6322</v>
      </c>
      <c r="L23" s="38">
        <v>5701</v>
      </c>
      <c r="M23" s="38">
        <v>4236</v>
      </c>
      <c r="N23" s="38">
        <v>5820</v>
      </c>
      <c r="O23" s="38">
        <v>1520</v>
      </c>
      <c r="P23" s="65">
        <v>1787</v>
      </c>
    </row>
    <row r="24" spans="1:16" ht="12.75">
      <c r="A24" s="40" t="s">
        <v>125</v>
      </c>
      <c r="B24" s="47">
        <f t="shared" si="0"/>
        <v>-0.27521367521367524</v>
      </c>
      <c r="C24" s="129">
        <f>E24-'[1]France'!E24</f>
        <v>-588</v>
      </c>
      <c r="D24" s="139">
        <f>F24-'[1]France'!F24</f>
        <v>-626</v>
      </c>
      <c r="E24" s="43">
        <v>1272</v>
      </c>
      <c r="F24" s="145">
        <v>1755</v>
      </c>
      <c r="G24" s="145">
        <v>1899</v>
      </c>
      <c r="H24" s="38">
        <v>1632</v>
      </c>
      <c r="I24" s="38">
        <v>3474</v>
      </c>
      <c r="J24" s="38">
        <v>2525</v>
      </c>
      <c r="K24" s="38">
        <v>1491</v>
      </c>
      <c r="L24" s="38">
        <v>3582</v>
      </c>
      <c r="M24" s="38">
        <v>2255</v>
      </c>
      <c r="N24" s="38">
        <v>2376</v>
      </c>
      <c r="O24" s="38">
        <v>2314</v>
      </c>
      <c r="P24" s="65">
        <v>3027</v>
      </c>
    </row>
    <row r="25" spans="1:16" ht="13.5" thickBot="1">
      <c r="A25" s="41" t="s">
        <v>6</v>
      </c>
      <c r="B25" s="47">
        <f t="shared" si="0"/>
        <v>0.8219400162118347</v>
      </c>
      <c r="C25" s="130">
        <f>E25-'[1]France'!E25</f>
        <v>-2041</v>
      </c>
      <c r="D25" s="140">
        <f>F25-'[1]France'!F25</f>
        <v>-1878</v>
      </c>
      <c r="E25" s="44">
        <v>13486</v>
      </c>
      <c r="F25" s="166">
        <v>7402</v>
      </c>
      <c r="G25" s="166">
        <v>6609</v>
      </c>
      <c r="H25" s="37">
        <v>2601</v>
      </c>
      <c r="I25" s="37">
        <v>2751</v>
      </c>
      <c r="J25" s="37">
        <v>2206</v>
      </c>
      <c r="K25" s="37">
        <v>2199</v>
      </c>
      <c r="L25" s="37">
        <v>6381</v>
      </c>
      <c r="M25" s="37">
        <v>3160</v>
      </c>
      <c r="N25" s="37">
        <v>4645</v>
      </c>
      <c r="O25" s="37">
        <v>6861</v>
      </c>
      <c r="P25" s="66">
        <v>8081</v>
      </c>
    </row>
    <row r="26" spans="1:16" ht="13.5" thickBot="1">
      <c r="A26" s="39" t="s">
        <v>92</v>
      </c>
      <c r="B26" s="143">
        <f t="shared" si="0"/>
        <v>-0.15172134485520833</v>
      </c>
      <c r="C26" s="70">
        <f>E26-'[1]France'!E26</f>
        <v>-100332</v>
      </c>
      <c r="D26" s="141">
        <f>F26-'[1]France'!F26</f>
        <v>-107483</v>
      </c>
      <c r="E26" s="117">
        <f aca="true" t="shared" si="1" ref="E26:J26">SUM(E2:E25)</f>
        <v>379111</v>
      </c>
      <c r="F26" s="167">
        <f t="shared" si="1"/>
        <v>446918</v>
      </c>
      <c r="G26" s="167">
        <f t="shared" si="1"/>
        <v>391058</v>
      </c>
      <c r="H26" s="84">
        <f t="shared" si="1"/>
        <v>354430</v>
      </c>
      <c r="I26" s="46">
        <f t="shared" si="1"/>
        <v>380280</v>
      </c>
      <c r="J26" s="46">
        <f t="shared" si="1"/>
        <v>368757</v>
      </c>
      <c r="K26" s="46">
        <f aca="true" t="shared" si="2" ref="K26:P26">SUM(K2:K25)</f>
        <v>338304</v>
      </c>
      <c r="L26" s="46">
        <f t="shared" si="2"/>
        <v>439361</v>
      </c>
      <c r="M26" s="46">
        <f t="shared" si="2"/>
        <v>207885</v>
      </c>
      <c r="N26" s="46">
        <f t="shared" si="2"/>
        <v>357701</v>
      </c>
      <c r="O26" s="46">
        <f t="shared" si="2"/>
        <v>363259</v>
      </c>
      <c r="P26" s="86">
        <f t="shared" si="2"/>
        <v>389073</v>
      </c>
    </row>
    <row r="28" spans="1:7" s="52" customFormat="1" ht="13.5" thickBot="1">
      <c r="A28" s="74"/>
      <c r="F28" s="158"/>
      <c r="G28" s="158"/>
    </row>
    <row r="29" spans="1:16" s="52" customFormat="1" ht="13.5" thickBot="1">
      <c r="A29" s="39" t="s">
        <v>25</v>
      </c>
      <c r="B29" s="24" t="s">
        <v>175</v>
      </c>
      <c r="C29" s="49" t="s">
        <v>176</v>
      </c>
      <c r="D29" s="25" t="s">
        <v>170</v>
      </c>
      <c r="E29" s="115">
        <v>44256</v>
      </c>
      <c r="F29" s="147">
        <v>43891</v>
      </c>
      <c r="G29" s="147">
        <v>43525</v>
      </c>
      <c r="H29" s="25">
        <v>43160</v>
      </c>
      <c r="I29" s="25">
        <v>42795</v>
      </c>
      <c r="J29" s="25">
        <v>42430</v>
      </c>
      <c r="K29" s="25">
        <f>K1</f>
        <v>42064</v>
      </c>
      <c r="L29" s="25">
        <v>41699</v>
      </c>
      <c r="M29" s="25">
        <v>41334</v>
      </c>
      <c r="N29" s="25">
        <v>40969</v>
      </c>
      <c r="O29" s="25">
        <v>40603</v>
      </c>
      <c r="P29" s="26">
        <v>40238</v>
      </c>
    </row>
    <row r="30" spans="1:16" ht="12.75">
      <c r="A30" s="54" t="s">
        <v>138</v>
      </c>
      <c r="B30" s="47">
        <f>(E30-F30)/F30</f>
        <v>2.3421487603305784</v>
      </c>
      <c r="C30" s="129">
        <f>E30-'[1]France'!E30</f>
        <v>-762</v>
      </c>
      <c r="D30" s="38">
        <f>F30-'[1]France'!F30</f>
        <v>-620</v>
      </c>
      <c r="E30" s="43">
        <v>2022</v>
      </c>
      <c r="F30" s="145">
        <v>605</v>
      </c>
      <c r="G30" s="145">
        <v>1101</v>
      </c>
      <c r="H30" s="38">
        <v>950</v>
      </c>
      <c r="I30" s="38">
        <v>1471</v>
      </c>
      <c r="J30">
        <v>1242</v>
      </c>
      <c r="K30">
        <v>2579</v>
      </c>
      <c r="L30">
        <v>3231</v>
      </c>
      <c r="M30">
        <v>510</v>
      </c>
      <c r="N30">
        <v>2615</v>
      </c>
      <c r="O30" s="94"/>
      <c r="P30" s="91"/>
    </row>
    <row r="31" spans="1:16" ht="12.75">
      <c r="A31" s="54" t="s">
        <v>139</v>
      </c>
      <c r="B31" s="47"/>
      <c r="C31" s="129">
        <f>E31-'[1]France'!E31</f>
        <v>0</v>
      </c>
      <c r="D31" s="38">
        <f>F31-'[1]France'!F31</f>
        <v>0</v>
      </c>
      <c r="E31" s="43"/>
      <c r="F31" s="145">
        <v>0</v>
      </c>
      <c r="G31" s="145"/>
      <c r="H31" s="38"/>
      <c r="I31" s="38"/>
      <c r="J31" s="94">
        <v>0</v>
      </c>
      <c r="K31" s="94"/>
      <c r="L31" s="94"/>
      <c r="M31" s="94"/>
      <c r="N31" s="94"/>
      <c r="O31" s="94"/>
      <c r="P31" s="91"/>
    </row>
    <row r="32" spans="1:16" ht="12.75">
      <c r="A32" s="54" t="s">
        <v>7</v>
      </c>
      <c r="B32" s="47">
        <f aca="true" t="shared" si="3" ref="B32:B37">(E32-F32)/F32</f>
        <v>0.1218343600273785</v>
      </c>
      <c r="C32" s="129">
        <f>E32-'[1]France'!E32</f>
        <v>-1230</v>
      </c>
      <c r="D32" s="38">
        <f>F32-'[1]France'!F32</f>
        <v>-1290</v>
      </c>
      <c r="E32" s="43">
        <v>1639</v>
      </c>
      <c r="F32" s="145">
        <v>1461</v>
      </c>
      <c r="G32" s="145">
        <v>1768</v>
      </c>
      <c r="H32" s="38">
        <v>1417</v>
      </c>
      <c r="I32" s="38">
        <v>1309</v>
      </c>
      <c r="J32">
        <v>1756</v>
      </c>
      <c r="K32">
        <v>1106</v>
      </c>
      <c r="L32">
        <v>477</v>
      </c>
      <c r="M32">
        <v>673</v>
      </c>
      <c r="N32">
        <v>1850</v>
      </c>
      <c r="O32" s="38"/>
      <c r="P32" s="65"/>
    </row>
    <row r="33" spans="1:16" ht="12.75">
      <c r="A33" s="54" t="s">
        <v>93</v>
      </c>
      <c r="B33" s="47"/>
      <c r="C33" s="129">
        <f>E33-'[1]France'!E33</f>
        <v>-501</v>
      </c>
      <c r="D33" s="38">
        <f>F33-'[1]France'!F33</f>
        <v>-383</v>
      </c>
      <c r="E33" s="43">
        <v>89</v>
      </c>
      <c r="F33" s="145">
        <v>102</v>
      </c>
      <c r="G33" s="145">
        <v>403</v>
      </c>
      <c r="H33" s="38">
        <v>371</v>
      </c>
      <c r="I33" s="38">
        <v>227</v>
      </c>
      <c r="J33" s="3">
        <v>352</v>
      </c>
      <c r="K33">
        <v>208</v>
      </c>
      <c r="L33">
        <v>166</v>
      </c>
      <c r="M33">
        <v>6</v>
      </c>
      <c r="N33">
        <v>426</v>
      </c>
      <c r="O33" s="38"/>
      <c r="P33" s="65"/>
    </row>
    <row r="34" spans="1:16" ht="12.75">
      <c r="A34" s="54" t="s">
        <v>140</v>
      </c>
      <c r="B34" s="47"/>
      <c r="C34" s="129">
        <f>E34-'[1]France'!E34</f>
        <v>0</v>
      </c>
      <c r="D34" s="38">
        <f>F34-'[1]France'!F34</f>
        <v>0</v>
      </c>
      <c r="E34" s="43"/>
      <c r="F34" s="145"/>
      <c r="G34" s="145"/>
      <c r="H34" s="38"/>
      <c r="I34" s="38"/>
      <c r="J34" s="38">
        <v>0</v>
      </c>
      <c r="K34" s="38"/>
      <c r="L34" s="38"/>
      <c r="M34" s="38"/>
      <c r="N34" s="38"/>
      <c r="O34" s="38"/>
      <c r="P34" s="65"/>
    </row>
    <row r="35" spans="1:16" ht="12.75">
      <c r="A35" s="54" t="s">
        <v>141</v>
      </c>
      <c r="B35" s="47">
        <f t="shared" si="3"/>
        <v>-0.07692307692307693</v>
      </c>
      <c r="C35" s="129">
        <f>E35-'[1]France'!E35</f>
        <v>-446</v>
      </c>
      <c r="D35" s="38">
        <f>F35-'[1]France'!F35</f>
        <v>-487</v>
      </c>
      <c r="E35" s="43">
        <v>132</v>
      </c>
      <c r="F35" s="145">
        <v>143</v>
      </c>
      <c r="G35" s="145">
        <v>566</v>
      </c>
      <c r="H35" s="38">
        <v>321</v>
      </c>
      <c r="I35" s="38">
        <v>290</v>
      </c>
      <c r="J35">
        <v>388</v>
      </c>
      <c r="K35">
        <v>285</v>
      </c>
      <c r="L35">
        <v>371</v>
      </c>
      <c r="M35">
        <v>348</v>
      </c>
      <c r="N35">
        <v>218</v>
      </c>
      <c r="O35" s="38"/>
      <c r="P35" s="65"/>
    </row>
    <row r="36" spans="1:16" ht="12.75">
      <c r="A36" s="54" t="s">
        <v>142</v>
      </c>
      <c r="B36" s="47"/>
      <c r="C36" s="129">
        <f>E36-'[1]France'!E36</f>
        <v>-60</v>
      </c>
      <c r="D36" s="38">
        <f>F36-'[1]France'!F36</f>
        <v>-92</v>
      </c>
      <c r="E36" s="43"/>
      <c r="F36" s="145"/>
      <c r="G36" s="145"/>
      <c r="H36" s="38"/>
      <c r="I36" s="38"/>
      <c r="J36" s="38">
        <v>0</v>
      </c>
      <c r="K36" s="38"/>
      <c r="L36" s="38"/>
      <c r="M36" s="38"/>
      <c r="N36" s="38"/>
      <c r="O36" s="38"/>
      <c r="P36" s="65"/>
    </row>
    <row r="37" spans="1:16" ht="13.5" thickBot="1">
      <c r="A37" s="58" t="s">
        <v>6</v>
      </c>
      <c r="B37" s="47">
        <f t="shared" si="3"/>
        <v>2.447619047619048</v>
      </c>
      <c r="C37" s="130">
        <f>E37-'[1]France'!E37</f>
        <v>-205</v>
      </c>
      <c r="D37" s="37">
        <f>F37-'[1]France'!F37</f>
        <v>-108</v>
      </c>
      <c r="E37" s="44">
        <v>362</v>
      </c>
      <c r="F37" s="166">
        <v>105</v>
      </c>
      <c r="G37" s="166">
        <v>336</v>
      </c>
      <c r="H37" s="37">
        <v>56</v>
      </c>
      <c r="I37" s="38">
        <v>261</v>
      </c>
      <c r="J37">
        <v>9</v>
      </c>
      <c r="K37">
        <v>30</v>
      </c>
      <c r="L37" s="3">
        <v>95</v>
      </c>
      <c r="M37">
        <v>3</v>
      </c>
      <c r="N37">
        <v>243</v>
      </c>
      <c r="O37" s="38"/>
      <c r="P37" s="65"/>
    </row>
    <row r="38" spans="1:16" ht="13.5" thickBot="1">
      <c r="A38" s="39" t="s">
        <v>92</v>
      </c>
      <c r="B38" s="143">
        <f>(E38-F38)/F38</f>
        <v>0.7566225165562914</v>
      </c>
      <c r="C38" s="70">
        <f>E38-'[1]France'!E38</f>
        <v>-3204</v>
      </c>
      <c r="D38" s="84">
        <f>F38-'[1]France'!F38</f>
        <v>-2980</v>
      </c>
      <c r="E38" s="121">
        <f>SUM(E30:E37)</f>
        <v>4244</v>
      </c>
      <c r="F38" s="167">
        <f>SUM(F30:F37)</f>
        <v>2416</v>
      </c>
      <c r="G38" s="167">
        <f>SUM(G30:G37)</f>
        <v>4174</v>
      </c>
      <c r="H38" s="84">
        <f>SUM(H30:H37)</f>
        <v>3115</v>
      </c>
      <c r="I38" s="46">
        <f aca="true" t="shared" si="4" ref="I38:N38">SUM(I30:I37)</f>
        <v>3558</v>
      </c>
      <c r="J38" s="46">
        <f t="shared" si="4"/>
        <v>3747</v>
      </c>
      <c r="K38" s="46">
        <f t="shared" si="4"/>
        <v>4208</v>
      </c>
      <c r="L38" s="46">
        <f t="shared" si="4"/>
        <v>4340</v>
      </c>
      <c r="M38" s="46">
        <f t="shared" si="4"/>
        <v>1540</v>
      </c>
      <c r="N38" s="46">
        <f t="shared" si="4"/>
        <v>5352</v>
      </c>
      <c r="O38" s="46"/>
      <c r="P38" s="8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Microsoft Office User</cp:lastModifiedBy>
  <cp:lastPrinted>2010-03-23T13:31:44Z</cp:lastPrinted>
  <dcterms:created xsi:type="dcterms:W3CDTF">2006-12-13T13:34:27Z</dcterms:created>
  <dcterms:modified xsi:type="dcterms:W3CDTF">2021-03-17T17:26:29Z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