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80" yWindow="1020" windowWidth="25720" windowHeight="15160" tabRatio="596" firstSheet="2" activeTab="2"/>
  </bookViews>
  <sheets>
    <sheet name="Intro" sheetId="1" r:id="rId1"/>
    <sheet name="US" sheetId="2" r:id="rId2"/>
    <sheet name="EU - country" sheetId="3" r:id="rId3"/>
    <sheet name="EU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Poland" sheetId="12" r:id="rId12"/>
    <sheet name="Portugal" sheetId="13" r:id="rId13"/>
    <sheet name="Spain" sheetId="14" r:id="rId14"/>
    <sheet name="Switzerland" sheetId="15" r:id="rId15"/>
    <sheet name="Netherlands" sheetId="16" r:id="rId16"/>
    <sheet name="UK" sheetId="17" r:id="rId17"/>
  </sheets>
  <externalReferences>
    <externalReference r:id="rId20"/>
  </externalReferences>
  <definedNames>
    <definedName name="_xlnm.Print_Area" localSheetId="2">'EU - country'!$A$18:$M$31</definedName>
    <definedName name="_xlnm.Print_Area" localSheetId="3">'EU - variety'!$A$35:$M$44</definedName>
    <definedName name="_xlnm.Print_Area" localSheetId="1">'US'!$A$1:$U$41</definedName>
  </definedNames>
  <calcPr fullCalcOnLoad="1"/>
</workbook>
</file>

<file path=xl/sharedStrings.xml><?xml version="1.0" encoding="utf-8"?>
<sst xmlns="http://schemas.openxmlformats.org/spreadsheetml/2006/main" count="523" uniqueCount="180">
  <si>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</si>
  <si>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</si>
  <si>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</si>
  <si>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</si>
  <si>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</si>
  <si>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</si>
  <si>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</si>
  <si>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</si>
  <si>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</si>
  <si>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</si>
  <si>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</si>
  <si>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</si>
  <si>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</si>
  <si>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</si>
  <si>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</si>
  <si>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</si>
  <si>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</si>
  <si>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</si>
  <si>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</si>
  <si>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</si>
  <si>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</si>
  <si>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</si>
  <si>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</si>
  <si>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</si>
  <si>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</si>
  <si>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</si>
  <si>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</si>
  <si>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</si>
  <si>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</si>
  <si>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</si>
  <si>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</si>
  <si>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</si>
  <si>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</si>
  <si>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</si>
  <si>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</si>
  <si>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</si>
  <si>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</si>
  <si>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</si>
  <si>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</si>
  <si>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</si>
  <si>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</si>
  <si>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</si>
  <si>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</si>
  <si>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</si>
  <si>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</si>
  <si>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</si>
  <si>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</si>
  <si>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</si>
  <si>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</si>
  <si>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</si>
  <si>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</si>
  <si>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</si>
  <si>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</si>
  <si>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</si>
  <si>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</si>
  <si>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</si>
  <si>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</si>
  <si>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</si>
  <si>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</si>
  <si>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</si>
  <si>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</si>
  <si>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</si>
  <si>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</si>
  <si>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</si>
  <si>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</si>
  <si>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</si>
  <si>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</si>
  <si>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</si>
  <si>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</si>
  <si>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</si>
  <si>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</si>
  <si>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</si>
  <si>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</si>
  <si>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</si>
  <si>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</si>
  <si>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</si>
  <si>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</si>
  <si>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</si>
  <si>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</si>
  <si>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</si>
  <si>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</si>
  <si>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</si>
  <si>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</si>
  <si>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</si>
  <si>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</si>
  <si>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</si>
  <si>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</si>
  <si>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</si>
  <si>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</si>
  <si>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</si>
  <si>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</si>
  <si>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</si>
  <si>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</si>
  <si>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</si>
  <si>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</si>
  <si>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</si>
  <si>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</si>
  <si>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</si>
  <si>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</si>
  <si>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</si>
  <si>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</si>
  <si>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</si>
  <si>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</si>
  <si>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</si>
  <si>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</si>
  <si>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</si>
  <si>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</si>
  <si>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</si>
  <si>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</si>
  <si>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</si>
  <si>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</si>
  <si>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</si>
  <si>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</si>
  <si>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</si>
  <si>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</si>
  <si>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</si>
  <si>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</si>
  <si>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</si>
  <si>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</si>
  <si>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</si>
  <si>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</si>
  <si>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</si>
  <si>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</si>
  <si>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</si>
  <si>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</si>
  <si>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</si>
  <si>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</si>
  <si>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</si>
  <si>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</si>
  <si>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</si>
  <si>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</si>
  <si>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</si>
  <si>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</si>
  <si>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</si>
  <si>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</si>
  <si>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</si>
  <si>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</si>
  <si>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</si>
  <si>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</si>
  <si>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</si>
  <si>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</si>
  <si>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</si>
  <si>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</si>
  <si>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APRIL</t>
  </si>
  <si>
    <t>Portugal:</t>
  </si>
  <si>
    <t>ANP - Associação Nacional de Produtores de Pera Rocha</t>
  </si>
  <si>
    <t>Portugal</t>
  </si>
  <si>
    <t>Rocha</t>
  </si>
  <si>
    <t xml:space="preserve">* Other new varieties: Ariane, Belgica, Cameo, Diwa, Greenstar, Goldrush, Honey Crunch, Jazz, Junami, Kanzi, Mairac, Rubens, Tentation (temptation), Wellant, ... </t>
  </si>
  <si>
    <t>Golden Delicius</t>
  </si>
  <si>
    <t>Choupette</t>
  </si>
  <si>
    <t>Concorde</t>
  </si>
  <si>
    <t>Ingrid Marid</t>
  </si>
  <si>
    <t>Evelina</t>
  </si>
  <si>
    <t>Bohemica</t>
  </si>
  <si>
    <t>Lucasova</t>
  </si>
  <si>
    <t>Doyenne du Comice</t>
  </si>
  <si>
    <t>Ligol</t>
  </si>
  <si>
    <t>AFRUCAT</t>
  </si>
  <si>
    <t>Honeycrisp</t>
  </si>
  <si>
    <t>** From 12/2014 Cox's is included in others</t>
  </si>
  <si>
    <t>Cox**</t>
  </si>
  <si>
    <t>Durondeau</t>
  </si>
  <si>
    <t>*Rocha pears are compared per two months, hence the next update will be in May.</t>
  </si>
  <si>
    <t>** As of the 2016/ 2017 season, the UK works with a different methodology, which is why the figures are not comparable.</t>
  </si>
  <si>
    <t>Forelle</t>
  </si>
  <si>
    <t>United Kingdom**</t>
  </si>
  <si>
    <t>Portugal*</t>
  </si>
  <si>
    <t>Please note that this is just indication. There might be a difference of +- 10%</t>
  </si>
  <si>
    <t>Variety: Gloster, Idared was send mostly to industry</t>
  </si>
  <si>
    <t>British Apples &amp; Pears</t>
  </si>
  <si>
    <t>Moved 2020</t>
  </si>
  <si>
    <t>Cosmic Crisp</t>
  </si>
  <si>
    <t xml:space="preserve">Granny Smith </t>
  </si>
  <si>
    <t>Mairac, Rubens, Tentation (temptation), Wellant, ... (specify if other)</t>
  </si>
  <si>
    <t>³ Other new varieties: Ariane, Belgica, Cameo, Diwa, Greenstar, Honey Crunch, Jazz, Junami, Kanzi,</t>
  </si>
  <si>
    <t>* Portugal: Rocha stocks are compared per two months</t>
  </si>
  <si>
    <t>Moved 2021</t>
  </si>
  <si>
    <t>%2021/2020</t>
  </si>
  <si>
    <t>Overview Northern Hemisphere apple and pear stocks 2020-2021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</si>
</sst>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€&quot;\ #,##0;&quot;€&quot;\ \-#,##0"/>
    <numFmt numFmtId="187" formatCode="&quot;€&quot;\ #,##0;[Red]&quot;€&quot;\ \-#,##0"/>
    <numFmt numFmtId="188" formatCode="&quot;€&quot;\ #,##0.00;&quot;€&quot;\ \-#,##0.00"/>
    <numFmt numFmtId="189" formatCode="&quot;€&quot;\ #,##0.00;[Red]&quot;€&quot;\ \-#,##0.00"/>
    <numFmt numFmtId="190" formatCode="_ &quot;€&quot;\ * #,##0_ ;_ &quot;€&quot;\ * \-#,##0_ ;_ &quot;€&quot;\ * &quot;-&quot;_ ;_ @_ "/>
    <numFmt numFmtId="191" formatCode="_ * #,##0_ ;_ * \-#,##0_ ;_ * &quot;-&quot;_ ;_ @_ "/>
    <numFmt numFmtId="192" formatCode="_ &quot;€&quot;\ * #,##0.00_ ;_ &quot;€&quot;\ * \-#,##0.00_ ;_ &quot;€&quot;\ * &quot;-&quot;??_ ;_ @_ "/>
    <numFmt numFmtId="193" formatCode="_ * #,##0.00_ ;_ * \-#,##0.00_ ;_ * &quot;-&quot;??_ ;_ @_ "/>
    <numFmt numFmtId="194" formatCode="[$-813]dddd\ d\ mmmm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"/>
    <numFmt numFmtId="200" formatCode="[$-80C]dddd\ d\ mmmm\ yyyy"/>
    <numFmt numFmtId="201" formatCode="_-* #,##0\ &quot;Pts&quot;_-;\-* #,##0\ &quot;Pts&quot;_-;_-* &quot;-&quot;\ &quot;Pts&quot;_-;_-@_-"/>
    <numFmt numFmtId="202" formatCode="_-* #,##0\ _P_t_s_-;\-* #,##0\ _P_t_s_-;_-* &quot;-&quot;\ _P_t_s_-;_-@_-"/>
    <numFmt numFmtId="203" formatCode="_-* #,##0.00\ &quot;Pts&quot;_-;\-* #,##0.00\ &quot;Pts&quot;_-;_-* &quot;-&quot;??\ &quot;Pts&quot;_-;_-@_-"/>
    <numFmt numFmtId="204" formatCode="_-* #,##0.00\ _P_t_s_-;\-* #,##0.00\ _P_t_s_-;_-* &quot;-&quot;??\ _P_t_s_-;_-@_-"/>
    <numFmt numFmtId="205" formatCode="_-* #,##0\ _€_-;\-* #,##0\ _€_-;_-* &quot;-&quot;??\ _€_-;_-@_-"/>
    <numFmt numFmtId="206" formatCode="_(* #,##0_);_(* \(#,##0\);_(* &quot;-&quot;??_);_(@_)"/>
    <numFmt numFmtId="207" formatCode="_-* #,##0\ _P_t_s_-;\-* #,##0\ _P_t_s_-;_-* &quot;-&quot;??\ _P_t_s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99" fontId="0" fillId="34" borderId="0" xfId="0" applyNumberFormat="1" applyFill="1" applyBorder="1" applyAlignment="1">
      <alignment/>
    </xf>
    <xf numFmtId="199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99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9" fontId="0" fillId="0" borderId="0" xfId="0" applyNumberForma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99" fontId="0" fillId="30" borderId="0" xfId="0" applyNumberFormat="1" applyFont="1" applyFill="1" applyBorder="1" applyAlignment="1">
      <alignment/>
    </xf>
    <xf numFmtId="199" fontId="0" fillId="30" borderId="10" xfId="0" applyNumberFormat="1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0" fillId="0" borderId="0" xfId="57">
      <alignment/>
      <protection/>
    </xf>
    <xf numFmtId="0" fontId="1" fillId="35" borderId="13" xfId="57" applyFont="1" applyFill="1" applyBorder="1">
      <alignment/>
      <protection/>
    </xf>
    <xf numFmtId="0" fontId="0" fillId="0" borderId="0" xfId="57" applyFont="1">
      <alignment/>
      <protection/>
    </xf>
    <xf numFmtId="0" fontId="0" fillId="35" borderId="11" xfId="57" applyFont="1" applyFill="1" applyBorder="1">
      <alignment/>
      <protection/>
    </xf>
    <xf numFmtId="199" fontId="0" fillId="30" borderId="0" xfId="57" applyNumberFormat="1" applyFont="1" applyFill="1" applyBorder="1">
      <alignment/>
      <protection/>
    </xf>
    <xf numFmtId="3" fontId="0" fillId="0" borderId="0" xfId="57" applyNumberFormat="1" applyFont="1" applyBorder="1">
      <alignment/>
      <protection/>
    </xf>
    <xf numFmtId="0" fontId="0" fillId="35" borderId="12" xfId="57" applyFont="1" applyFill="1" applyBorder="1">
      <alignment/>
      <protection/>
    </xf>
    <xf numFmtId="199" fontId="0" fillId="30" borderId="10" xfId="57" applyNumberFormat="1" applyFont="1" applyFill="1" applyBorder="1">
      <alignment/>
      <protection/>
    </xf>
    <xf numFmtId="3" fontId="0" fillId="36" borderId="10" xfId="57" applyNumberFormat="1" applyFont="1" applyFill="1" applyBorder="1">
      <alignment/>
      <protection/>
    </xf>
    <xf numFmtId="3" fontId="0" fillId="0" borderId="10" xfId="57" applyNumberFormat="1" applyFont="1" applyBorder="1">
      <alignment/>
      <protection/>
    </xf>
    <xf numFmtId="0" fontId="1" fillId="35" borderId="12" xfId="57" applyFont="1" applyFill="1" applyBorder="1">
      <alignment/>
      <protection/>
    </xf>
    <xf numFmtId="199" fontId="1" fillId="30" borderId="14" xfId="57" applyNumberFormat="1" applyFont="1" applyFill="1" applyBorder="1">
      <alignment/>
      <protection/>
    </xf>
    <xf numFmtId="3" fontId="1" fillId="36" borderId="14" xfId="57" applyNumberFormat="1" applyFont="1" applyFill="1" applyBorder="1">
      <alignment/>
      <protection/>
    </xf>
    <xf numFmtId="3" fontId="0" fillId="0" borderId="14" xfId="57" applyNumberFormat="1" applyFont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6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3" fontId="0" fillId="0" borderId="15" xfId="57" applyNumberFormat="1" applyFont="1" applyBorder="1">
      <alignment/>
      <protection/>
    </xf>
    <xf numFmtId="0" fontId="0" fillId="33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3" fontId="0" fillId="0" borderId="0" xfId="57" applyNumberFormat="1" applyFont="1" applyFill="1" applyBorder="1">
      <alignment/>
      <protection/>
    </xf>
    <xf numFmtId="3" fontId="0" fillId="0" borderId="10" xfId="57" applyNumberFormat="1" applyFont="1" applyFill="1" applyBorder="1">
      <alignment/>
      <protection/>
    </xf>
    <xf numFmtId="3" fontId="0" fillId="0" borderId="16" xfId="57" applyNumberFormat="1" applyFont="1" applyFill="1" applyBorder="1">
      <alignment/>
      <protection/>
    </xf>
    <xf numFmtId="3" fontId="0" fillId="0" borderId="17" xfId="57" applyNumberFormat="1" applyFont="1" applyFill="1" applyBorder="1">
      <alignment/>
      <protection/>
    </xf>
    <xf numFmtId="0" fontId="1" fillId="0" borderId="0" xfId="57" applyFont="1">
      <alignment/>
      <protection/>
    </xf>
    <xf numFmtId="199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 quotePrefix="1">
      <alignment/>
    </xf>
    <xf numFmtId="199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1" fillId="0" borderId="14" xfId="57" applyNumberFormat="1" applyFont="1" applyFill="1" applyBorder="1">
      <alignment/>
      <protection/>
    </xf>
    <xf numFmtId="3" fontId="1" fillId="0" borderId="14" xfId="57" applyNumberFormat="1" applyFont="1" applyBorder="1">
      <alignment/>
      <protection/>
    </xf>
    <xf numFmtId="3" fontId="1" fillId="0" borderId="15" xfId="57" applyNumberFormat="1" applyFont="1" applyBorder="1">
      <alignment/>
      <protection/>
    </xf>
    <xf numFmtId="3" fontId="0" fillId="0" borderId="0" xfId="0" applyNumberForma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7" applyFill="1">
      <alignment/>
      <protection/>
    </xf>
    <xf numFmtId="199" fontId="1" fillId="30" borderId="10" xfId="57" applyNumberFormat="1" applyFont="1" applyFill="1" applyBorder="1">
      <alignment/>
      <protection/>
    </xf>
    <xf numFmtId="199" fontId="0" fillId="30" borderId="14" xfId="57" applyNumberFormat="1" applyFont="1" applyFill="1" applyBorder="1">
      <alignment/>
      <protection/>
    </xf>
    <xf numFmtId="3" fontId="1" fillId="0" borderId="15" xfId="0" applyNumberFormat="1" applyFont="1" applyFill="1" applyBorder="1" applyAlignment="1">
      <alignment/>
    </xf>
    <xf numFmtId="0" fontId="0" fillId="35" borderId="18" xfId="57" applyFont="1" applyFill="1" applyBorder="1">
      <alignment/>
      <protection/>
    </xf>
    <xf numFmtId="199" fontId="0" fillId="30" borderId="19" xfId="57" applyNumberFormat="1" applyFont="1" applyFill="1" applyBorder="1">
      <alignment/>
      <protection/>
    </xf>
    <xf numFmtId="3" fontId="0" fillId="0" borderId="19" xfId="57" applyNumberFormat="1" applyFont="1" applyFill="1" applyBorder="1">
      <alignment/>
      <protection/>
    </xf>
    <xf numFmtId="3" fontId="0" fillId="0" borderId="20" xfId="57" applyNumberFormat="1" applyFont="1" applyFill="1" applyBorder="1">
      <alignment/>
      <protection/>
    </xf>
    <xf numFmtId="3" fontId="1" fillId="0" borderId="15" xfId="57" applyNumberFormat="1" applyFont="1" applyFill="1" applyBorder="1">
      <alignment/>
      <protection/>
    </xf>
    <xf numFmtId="3" fontId="0" fillId="0" borderId="16" xfId="0" applyNumberFormat="1" applyFont="1" applyFill="1" applyBorder="1" applyAlignment="1">
      <alignment horizontal="right"/>
    </xf>
    <xf numFmtId="3" fontId="1" fillId="36" borderId="10" xfId="0" applyNumberFormat="1" applyFont="1" applyFill="1" applyBorder="1" applyAlignment="1">
      <alignment/>
    </xf>
    <xf numFmtId="3" fontId="1" fillId="0" borderId="10" xfId="57" applyNumberFormat="1" applyFont="1" applyFill="1" applyBorder="1">
      <alignment/>
      <protection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4" fontId="1" fillId="0" borderId="14" xfId="57" applyNumberFormat="1" applyFont="1" applyFill="1" applyBorder="1" applyAlignment="1">
      <alignment horizontal="center"/>
      <protection/>
    </xf>
    <xf numFmtId="14" fontId="1" fillId="0" borderId="15" xfId="57" applyNumberFormat="1" applyFont="1" applyFill="1" applyBorder="1" applyAlignment="1">
      <alignment horizontal="center"/>
      <protection/>
    </xf>
    <xf numFmtId="3" fontId="0" fillId="0" borderId="0" xfId="0" applyNumberFormat="1" applyFont="1" applyFill="1" applyBorder="1" applyAlignment="1">
      <alignment horizontal="right"/>
    </xf>
    <xf numFmtId="3" fontId="0" fillId="36" borderId="0" xfId="0" applyNumberFormat="1" applyFill="1" applyBorder="1" applyAlignment="1">
      <alignment/>
    </xf>
    <xf numFmtId="3" fontId="31" fillId="0" borderId="0" xfId="39" applyNumberFormat="1" applyFill="1" applyBorder="1" applyAlignment="1">
      <alignment/>
    </xf>
    <xf numFmtId="3" fontId="31" fillId="0" borderId="16" xfId="39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199" fontId="0" fillId="34" borderId="14" xfId="0" applyNumberFormat="1" applyFill="1" applyBorder="1" applyAlignment="1">
      <alignment/>
    </xf>
    <xf numFmtId="199" fontId="0" fillId="37" borderId="0" xfId="0" applyNumberFormat="1" applyFont="1" applyFill="1" applyBorder="1" applyAlignment="1">
      <alignment/>
    </xf>
    <xf numFmtId="3" fontId="0" fillId="36" borderId="19" xfId="57" applyNumberFormat="1" applyFont="1" applyFill="1" applyBorder="1">
      <alignment/>
      <protection/>
    </xf>
    <xf numFmtId="3" fontId="1" fillId="36" borderId="10" xfId="57" applyNumberFormat="1" applyFont="1" applyFill="1" applyBorder="1">
      <alignment/>
      <protection/>
    </xf>
    <xf numFmtId="3" fontId="1" fillId="0" borderId="1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/>
    </xf>
    <xf numFmtId="14" fontId="1" fillId="0" borderId="14" xfId="0" applyNumberFormat="1" applyFont="1" applyFill="1" applyBorder="1" applyAlignment="1">
      <alignment/>
    </xf>
    <xf numFmtId="199" fontId="0" fillId="0" borderId="0" xfId="0" applyNumberFormat="1" applyFont="1" applyFill="1" applyBorder="1" applyAlignment="1">
      <alignment/>
    </xf>
    <xf numFmtId="199" fontId="1" fillId="0" borderId="14" xfId="0" applyNumberFormat="1" applyFont="1" applyFill="1" applyBorder="1" applyAlignment="1">
      <alignment/>
    </xf>
    <xf numFmtId="199" fontId="0" fillId="0" borderId="0" xfId="57" applyNumberFormat="1" applyFont="1" applyFill="1" applyBorder="1">
      <alignment/>
      <protection/>
    </xf>
    <xf numFmtId="199" fontId="1" fillId="0" borderId="14" xfId="57" applyNumberFormat="1" applyFont="1" applyFill="1" applyBorder="1">
      <alignment/>
      <protection/>
    </xf>
    <xf numFmtId="199" fontId="0" fillId="36" borderId="0" xfId="0" applyNumberFormat="1" applyFont="1" applyFill="1" applyBorder="1" applyAlignment="1">
      <alignment/>
    </xf>
    <xf numFmtId="199" fontId="1" fillId="36" borderId="14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4" xfId="0" applyNumberFormat="1" applyFont="1" applyFill="1" applyBorder="1" applyAlignment="1">
      <alignment/>
    </xf>
    <xf numFmtId="3" fontId="0" fillId="37" borderId="19" xfId="0" applyNumberFormat="1" applyFill="1" applyBorder="1" applyAlignment="1">
      <alignment/>
    </xf>
    <xf numFmtId="0" fontId="10" fillId="0" borderId="0" xfId="0" applyFont="1" applyAlignment="1">
      <alignment/>
    </xf>
    <xf numFmtId="3" fontId="1" fillId="37" borderId="14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199" fontId="0" fillId="30" borderId="14" xfId="0" applyNumberFormat="1" applyFont="1" applyFill="1" applyBorder="1" applyAlignment="1">
      <alignment/>
    </xf>
    <xf numFmtId="199" fontId="0" fillId="36" borderId="0" xfId="57" applyNumberFormat="1" applyFont="1" applyFill="1" applyBorder="1">
      <alignment/>
      <protection/>
    </xf>
    <xf numFmtId="199" fontId="1" fillId="36" borderId="14" xfId="57" applyNumberFormat="1" applyFont="1" applyFill="1" applyBorder="1">
      <alignment/>
      <protection/>
    </xf>
    <xf numFmtId="0" fontId="0" fillId="30" borderId="0" xfId="0" applyNumberFormat="1" applyFont="1" applyFill="1" applyBorder="1" applyAlignment="1">
      <alignment/>
    </xf>
    <xf numFmtId="0" fontId="0" fillId="30" borderId="14" xfId="0" applyNumberFormat="1" applyFont="1" applyFill="1" applyBorder="1" applyAlignment="1">
      <alignment/>
    </xf>
    <xf numFmtId="199" fontId="1" fillId="37" borderId="14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199" fontId="1" fillId="34" borderId="14" xfId="0" applyNumberFormat="1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199" fontId="0" fillId="30" borderId="0" xfId="0" applyNumberFormat="1" applyFont="1" applyFill="1" applyBorder="1" applyAlignment="1">
      <alignment/>
    </xf>
    <xf numFmtId="0" fontId="1" fillId="37" borderId="14" xfId="0" applyFont="1" applyFill="1" applyBorder="1" applyAlignment="1">
      <alignment/>
    </xf>
    <xf numFmtId="3" fontId="0" fillId="36" borderId="0" xfId="57" applyNumberFormat="1" applyFont="1" applyFill="1" applyBorder="1">
      <alignment/>
      <protection/>
    </xf>
    <xf numFmtId="199" fontId="1" fillId="30" borderId="14" xfId="57" applyNumberFormat="1" applyFont="1" applyFill="1" applyBorder="1">
      <alignment/>
      <protection/>
    </xf>
    <xf numFmtId="14" fontId="1" fillId="36" borderId="14" xfId="0" applyNumberFormat="1" applyFont="1" applyFill="1" applyBorder="1" applyAlignment="1">
      <alignment/>
    </xf>
    <xf numFmtId="3" fontId="0" fillId="37" borderId="0" xfId="0" applyNumberFormat="1" applyFont="1" applyFill="1" applyBorder="1" applyAlignment="1">
      <alignment/>
    </xf>
    <xf numFmtId="3" fontId="1" fillId="37" borderId="14" xfId="0" applyNumberFormat="1" applyFont="1" applyFill="1" applyBorder="1" applyAlignment="1">
      <alignment/>
    </xf>
    <xf numFmtId="199" fontId="1" fillId="30" borderId="14" xfId="0" applyNumberFormat="1" applyFon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0" fillId="30" borderId="0" xfId="57" applyNumberFormat="1" applyFont="1" applyFill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e 4" xfId="58"/>
    <cellStyle name="Normale 4 2" xfId="59"/>
    <cellStyle name="Normale 7" xfId="60"/>
    <cellStyle name="Normale_4_uesto_pere" xfId="61"/>
    <cellStyle name="Note" xfId="62"/>
    <cellStyle name="Output" xfId="63"/>
    <cellStyle name="Percent" xfId="64"/>
    <cellStyle name="Standard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514350</xdr:colOff>
      <xdr:row>16</xdr:row>
      <xdr:rowOff>28575</xdr:rowOff>
    </xdr:to>
    <xdr:pic>
      <xdr:nvPicPr>
        <xdr:cNvPr id="1" name="Picture 6" descr="WAPA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23850"/>
          <a:ext cx="23241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cks%20NH%20Mar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1">
        <row r="2">
          <cell r="E2">
            <v>3049</v>
          </cell>
          <cell r="F2">
            <v>4707</v>
          </cell>
        </row>
        <row r="3">
          <cell r="E3">
            <v>2916</v>
          </cell>
          <cell r="F3">
            <v>1906</v>
          </cell>
        </row>
        <row r="4">
          <cell r="E4">
            <v>16293</v>
          </cell>
          <cell r="F4">
            <v>305</v>
          </cell>
        </row>
        <row r="5">
          <cell r="E5">
            <v>13511</v>
          </cell>
          <cell r="F5">
            <v>7432</v>
          </cell>
        </row>
        <row r="6">
          <cell r="E6">
            <v>180310</v>
          </cell>
          <cell r="F6">
            <v>186322</v>
          </cell>
        </row>
        <row r="7">
          <cell r="E7">
            <v>238108</v>
          </cell>
          <cell r="F7">
            <v>301241</v>
          </cell>
        </row>
        <row r="8">
          <cell r="E8">
            <v>55835</v>
          </cell>
          <cell r="F8">
            <v>100083</v>
          </cell>
        </row>
        <row r="9">
          <cell r="E9">
            <v>139568</v>
          </cell>
          <cell r="F9">
            <v>183950</v>
          </cell>
        </row>
        <row r="10">
          <cell r="E10">
            <v>141455</v>
          </cell>
          <cell r="F10">
            <v>123561</v>
          </cell>
        </row>
        <row r="11">
          <cell r="E11">
            <v>2020</v>
          </cell>
          <cell r="F11">
            <v>1887</v>
          </cell>
        </row>
        <row r="13">
          <cell r="E13">
            <v>1143</v>
          </cell>
          <cell r="F13">
            <v>762</v>
          </cell>
        </row>
        <row r="14">
          <cell r="E14">
            <v>13968</v>
          </cell>
          <cell r="F14">
            <v>16312</v>
          </cell>
        </row>
        <row r="15">
          <cell r="E15">
            <v>572</v>
          </cell>
          <cell r="F15">
            <v>781</v>
          </cell>
        </row>
        <row r="16">
          <cell r="E16">
            <v>648</v>
          </cell>
          <cell r="F16">
            <v>362</v>
          </cell>
        </row>
        <row r="17">
          <cell r="F17">
            <v>0</v>
          </cell>
        </row>
        <row r="18">
          <cell r="E18">
            <v>84896</v>
          </cell>
          <cell r="F18">
            <v>71461</v>
          </cell>
        </row>
        <row r="19">
          <cell r="E19">
            <v>265111</v>
          </cell>
          <cell r="F19">
            <v>312427</v>
          </cell>
        </row>
        <row r="20">
          <cell r="E20">
            <v>1944</v>
          </cell>
          <cell r="F20">
            <v>3259</v>
          </cell>
        </row>
        <row r="21">
          <cell r="E21">
            <v>267</v>
          </cell>
          <cell r="F21">
            <v>438</v>
          </cell>
        </row>
        <row r="22">
          <cell r="E22">
            <v>1868</v>
          </cell>
          <cell r="F22">
            <v>819</v>
          </cell>
        </row>
        <row r="23">
          <cell r="E23">
            <v>133</v>
          </cell>
          <cell r="F23">
            <v>133</v>
          </cell>
        </row>
        <row r="24">
          <cell r="F24">
            <v>0</v>
          </cell>
        </row>
        <row r="25">
          <cell r="E25">
            <v>667</v>
          </cell>
          <cell r="F25">
            <v>191</v>
          </cell>
        </row>
        <row r="26">
          <cell r="E26">
            <v>90594</v>
          </cell>
          <cell r="F26">
            <v>99017</v>
          </cell>
        </row>
        <row r="27">
          <cell r="E27">
            <v>1254876</v>
          </cell>
          <cell r="F27">
            <v>1417356</v>
          </cell>
        </row>
        <row r="31">
          <cell r="E31">
            <v>69033.02</v>
          </cell>
          <cell r="F31">
            <v>72422.9</v>
          </cell>
        </row>
        <row r="32">
          <cell r="E32">
            <v>14895.06</v>
          </cell>
          <cell r="F32">
            <v>8025.2</v>
          </cell>
        </row>
        <row r="33">
          <cell r="E33">
            <v>6681.32</v>
          </cell>
          <cell r="F33">
            <v>8550.5</v>
          </cell>
        </row>
        <row r="34">
          <cell r="E34">
            <v>0.34</v>
          </cell>
          <cell r="F34">
            <v>104.16</v>
          </cell>
        </row>
        <row r="35">
          <cell r="E35">
            <v>0</v>
          </cell>
          <cell r="F35">
            <v>0</v>
          </cell>
        </row>
        <row r="36">
          <cell r="E36">
            <v>37</v>
          </cell>
          <cell r="F36">
            <v>4</v>
          </cell>
        </row>
        <row r="37">
          <cell r="E37">
            <v>0</v>
          </cell>
          <cell r="F37">
            <v>8</v>
          </cell>
        </row>
        <row r="38">
          <cell r="E38">
            <v>0</v>
          </cell>
          <cell r="F38">
            <v>0</v>
          </cell>
        </row>
        <row r="39">
          <cell r="E39">
            <v>4</v>
          </cell>
          <cell r="F39">
            <v>0</v>
          </cell>
        </row>
        <row r="40">
          <cell r="E40">
            <v>1638.44</v>
          </cell>
          <cell r="F40">
            <v>74.92</v>
          </cell>
        </row>
        <row r="41">
          <cell r="E41">
            <v>92289.18</v>
          </cell>
          <cell r="F41">
            <v>89189.68</v>
          </cell>
        </row>
      </sheetData>
      <sheetData sheetId="2">
        <row r="2">
          <cell r="E2">
            <v>69953.35</v>
          </cell>
          <cell r="F2">
            <v>61513.48</v>
          </cell>
        </row>
        <row r="3">
          <cell r="E3">
            <v>61337</v>
          </cell>
          <cell r="F3">
            <v>90543</v>
          </cell>
        </row>
        <row r="4">
          <cell r="E4">
            <v>30370</v>
          </cell>
          <cell r="F4">
            <v>18133</v>
          </cell>
        </row>
        <row r="5">
          <cell r="E5">
            <v>2984</v>
          </cell>
          <cell r="F5">
            <v>2621</v>
          </cell>
        </row>
        <row r="6">
          <cell r="E6">
            <v>379111</v>
          </cell>
          <cell r="F6">
            <v>446918</v>
          </cell>
        </row>
        <row r="7">
          <cell r="E7">
            <v>197117</v>
          </cell>
          <cell r="F7">
            <v>172043</v>
          </cell>
        </row>
        <row r="8">
          <cell r="E8">
            <v>831226.49</v>
          </cell>
          <cell r="F8">
            <v>781037</v>
          </cell>
        </row>
        <row r="9">
          <cell r="E9">
            <v>837000</v>
          </cell>
          <cell r="F9">
            <v>472000</v>
          </cell>
        </row>
        <row r="11">
          <cell r="E11">
            <v>113465.5109911465</v>
          </cell>
          <cell r="F11">
            <v>187735.02910016474</v>
          </cell>
        </row>
        <row r="12">
          <cell r="E12">
            <v>41224</v>
          </cell>
          <cell r="F12">
            <v>38197</v>
          </cell>
        </row>
        <row r="13">
          <cell r="E13">
            <v>78292</v>
          </cell>
          <cell r="F13">
            <v>114698</v>
          </cell>
        </row>
        <row r="14">
          <cell r="E14">
            <v>57940</v>
          </cell>
          <cell r="F14">
            <v>60495</v>
          </cell>
        </row>
        <row r="15">
          <cell r="E15">
            <v>2700020.350991146</v>
          </cell>
          <cell r="F15">
            <v>2445933.5091001648</v>
          </cell>
        </row>
        <row r="19">
          <cell r="E19">
            <v>156114</v>
          </cell>
          <cell r="F19">
            <v>94476</v>
          </cell>
        </row>
        <row r="20">
          <cell r="E20">
            <v>1534</v>
          </cell>
          <cell r="F20">
            <v>1291</v>
          </cell>
        </row>
        <row r="21">
          <cell r="E21">
            <v>19</v>
          </cell>
          <cell r="F21">
            <v>30</v>
          </cell>
        </row>
        <row r="22">
          <cell r="E22">
            <v>4244</v>
          </cell>
          <cell r="F22">
            <v>2416</v>
          </cell>
        </row>
        <row r="23">
          <cell r="E23">
            <v>1554</v>
          </cell>
          <cell r="F23">
            <v>1140</v>
          </cell>
        </row>
        <row r="24">
          <cell r="E24">
            <v>84050.4527876459</v>
          </cell>
          <cell r="F24">
            <v>0</v>
          </cell>
        </row>
        <row r="25">
          <cell r="E25">
            <v>2000</v>
          </cell>
          <cell r="F25">
            <v>0</v>
          </cell>
        </row>
        <row r="26">
          <cell r="E26">
            <v>0</v>
          </cell>
          <cell r="F26">
            <v>46875</v>
          </cell>
        </row>
        <row r="27">
          <cell r="E27">
            <v>36536.440544556724</v>
          </cell>
          <cell r="F27">
            <v>41796.42314347478</v>
          </cell>
        </row>
        <row r="28">
          <cell r="E28">
            <v>3613</v>
          </cell>
          <cell r="F28">
            <v>4311</v>
          </cell>
        </row>
        <row r="29">
          <cell r="E29">
            <v>137854</v>
          </cell>
          <cell r="F29">
            <v>121259</v>
          </cell>
        </row>
        <row r="30">
          <cell r="E30">
            <v>3231</v>
          </cell>
          <cell r="F30">
            <v>1575</v>
          </cell>
        </row>
        <row r="31">
          <cell r="E31">
            <v>430749.8933322026</v>
          </cell>
          <cell r="F31">
            <v>315169.4231434748</v>
          </cell>
        </row>
      </sheetData>
      <sheetData sheetId="3">
        <row r="2">
          <cell r="E2">
            <v>0</v>
          </cell>
          <cell r="F2">
            <v>0</v>
          </cell>
        </row>
        <row r="3">
          <cell r="E3">
            <v>3082</v>
          </cell>
          <cell r="F3">
            <v>4487</v>
          </cell>
        </row>
        <row r="4">
          <cell r="E4">
            <v>84167.65</v>
          </cell>
          <cell r="F4">
            <v>94276.44</v>
          </cell>
        </row>
        <row r="5">
          <cell r="E5">
            <v>19285</v>
          </cell>
          <cell r="F5">
            <v>19072</v>
          </cell>
        </row>
        <row r="6">
          <cell r="E6">
            <v>3371</v>
          </cell>
          <cell r="F6">
            <v>1474</v>
          </cell>
        </row>
        <row r="7">
          <cell r="E7">
            <v>0</v>
          </cell>
          <cell r="F7">
            <v>0</v>
          </cell>
        </row>
        <row r="8">
          <cell r="E8">
            <v>812</v>
          </cell>
          <cell r="F8">
            <v>1182</v>
          </cell>
        </row>
        <row r="9">
          <cell r="E9">
            <v>115338.8</v>
          </cell>
          <cell r="F9">
            <v>97400</v>
          </cell>
        </row>
        <row r="10">
          <cell r="E10">
            <v>54211.4</v>
          </cell>
          <cell r="F10">
            <v>81756.64</v>
          </cell>
        </row>
        <row r="11">
          <cell r="E11">
            <v>103600.30773713581</v>
          </cell>
          <cell r="F11">
            <v>102793.61722309185</v>
          </cell>
        </row>
        <row r="12">
          <cell r="E12">
            <v>237037.07644026232</v>
          </cell>
          <cell r="F12">
            <v>190681.42407204292</v>
          </cell>
        </row>
        <row r="13">
          <cell r="E13">
            <v>55259</v>
          </cell>
          <cell r="F13">
            <v>50139</v>
          </cell>
        </row>
        <row r="14">
          <cell r="E14">
            <v>653725.1698613614</v>
          </cell>
          <cell r="F14">
            <v>804103.4499371098</v>
          </cell>
        </row>
        <row r="15">
          <cell r="E15">
            <v>127243.83636562435</v>
          </cell>
          <cell r="F15">
            <v>100213.1439894501</v>
          </cell>
        </row>
        <row r="16">
          <cell r="E16">
            <v>100</v>
          </cell>
          <cell r="F16">
            <v>0</v>
          </cell>
        </row>
        <row r="17">
          <cell r="E17">
            <v>187027.05</v>
          </cell>
          <cell r="F17">
            <v>122346.6</v>
          </cell>
        </row>
        <row r="18">
          <cell r="E18">
            <v>143485.05</v>
          </cell>
          <cell r="F18">
            <v>132981.04</v>
          </cell>
        </row>
        <row r="19">
          <cell r="E19">
            <v>36397</v>
          </cell>
          <cell r="F19">
            <v>51589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10891.4</v>
          </cell>
          <cell r="F22">
            <v>7867</v>
          </cell>
        </row>
        <row r="23">
          <cell r="E23">
            <v>55006.45</v>
          </cell>
          <cell r="F23">
            <v>37697.24</v>
          </cell>
        </row>
        <row r="24">
          <cell r="E24">
            <v>125034.56058676259</v>
          </cell>
          <cell r="F24">
            <v>106103.25387847003</v>
          </cell>
        </row>
        <row r="25">
          <cell r="E25">
            <v>127771.3</v>
          </cell>
          <cell r="F25">
            <v>95075.68</v>
          </cell>
        </row>
        <row r="26">
          <cell r="E26">
            <v>24508.86</v>
          </cell>
          <cell r="F26">
            <v>17331</v>
          </cell>
        </row>
        <row r="27">
          <cell r="E27">
            <v>81474</v>
          </cell>
          <cell r="F27">
            <v>60375</v>
          </cell>
        </row>
        <row r="28">
          <cell r="E28">
            <v>0</v>
          </cell>
          <cell r="F28">
            <v>0</v>
          </cell>
        </row>
        <row r="29">
          <cell r="E29">
            <v>327</v>
          </cell>
          <cell r="F29">
            <v>110</v>
          </cell>
        </row>
        <row r="30">
          <cell r="E30">
            <v>90482.1</v>
          </cell>
          <cell r="F30">
            <v>82838.08</v>
          </cell>
        </row>
        <row r="31">
          <cell r="E31">
            <v>360382.33999999997</v>
          </cell>
          <cell r="F31">
            <v>184040.9</v>
          </cell>
        </row>
        <row r="32">
          <cell r="E32">
            <v>2700020.350991146</v>
          </cell>
          <cell r="F32">
            <v>2445933.5091001648</v>
          </cell>
        </row>
        <row r="36">
          <cell r="E36">
            <v>49577.10776239264</v>
          </cell>
          <cell r="F36">
            <v>0</v>
          </cell>
        </row>
        <row r="37">
          <cell r="E37">
            <v>1439.5018967474025</v>
          </cell>
          <cell r="F37">
            <v>1739.8742145811325</v>
          </cell>
        </row>
        <row r="38">
          <cell r="E38">
            <v>3431.3924933450667</v>
          </cell>
          <cell r="F38">
            <v>1760.6126604602193</v>
          </cell>
        </row>
        <row r="39">
          <cell r="E39">
            <v>335814.84068151814</v>
          </cell>
          <cell r="F39">
            <v>250960.54595388228</v>
          </cell>
        </row>
        <row r="40">
          <cell r="E40">
            <v>4955.918380521979</v>
          </cell>
          <cell r="F40">
            <v>572</v>
          </cell>
        </row>
        <row r="41">
          <cell r="E41">
            <v>13921.610409453058</v>
          </cell>
          <cell r="F41">
            <v>0</v>
          </cell>
        </row>
        <row r="42">
          <cell r="E42">
            <v>0</v>
          </cell>
          <cell r="F42">
            <v>46875</v>
          </cell>
        </row>
        <row r="43">
          <cell r="E43">
            <v>21423.521708224376</v>
          </cell>
          <cell r="F43">
            <v>13261.390314551169</v>
          </cell>
        </row>
        <row r="44">
          <cell r="E44">
            <v>430563.8933322027</v>
          </cell>
          <cell r="F44">
            <v>315169.42314347485</v>
          </cell>
        </row>
      </sheetData>
      <sheetData sheetId="4">
        <row r="2">
          <cell r="E2">
            <v>501.1</v>
          </cell>
          <cell r="F2">
            <v>495.88</v>
          </cell>
        </row>
        <row r="3">
          <cell r="E3">
            <v>0</v>
          </cell>
          <cell r="F3">
            <v>0</v>
          </cell>
        </row>
        <row r="4">
          <cell r="E4">
            <v>5131.85</v>
          </cell>
          <cell r="F4">
            <v>6129.44</v>
          </cell>
        </row>
        <row r="5">
          <cell r="E5">
            <v>1024.4</v>
          </cell>
          <cell r="F5">
            <v>899.64</v>
          </cell>
        </row>
        <row r="6">
          <cell r="E6">
            <v>9558.1</v>
          </cell>
          <cell r="F6">
            <v>5925.08</v>
          </cell>
        </row>
        <row r="7">
          <cell r="E7">
            <v>1293</v>
          </cell>
          <cell r="F7">
            <v>1714.64</v>
          </cell>
        </row>
        <row r="8">
          <cell r="E8">
            <v>13723.3</v>
          </cell>
          <cell r="F8">
            <v>12088.32</v>
          </cell>
        </row>
        <row r="10">
          <cell r="E10">
            <v>26401.8</v>
          </cell>
          <cell r="F10">
            <v>19740.72</v>
          </cell>
        </row>
        <row r="11">
          <cell r="E11">
            <v>180.7</v>
          </cell>
          <cell r="F11">
            <v>82.08</v>
          </cell>
        </row>
        <row r="12">
          <cell r="E12">
            <v>4937.049999999999</v>
          </cell>
          <cell r="F12">
            <v>5290.6</v>
          </cell>
        </row>
        <row r="13">
          <cell r="E13">
            <v>2035.0500000000002</v>
          </cell>
          <cell r="F13">
            <v>3989.04</v>
          </cell>
        </row>
        <row r="14">
          <cell r="E14">
            <v>0</v>
          </cell>
          <cell r="F14">
            <v>0</v>
          </cell>
        </row>
        <row r="15">
          <cell r="E15">
            <v>79.9</v>
          </cell>
          <cell r="F15">
            <v>0</v>
          </cell>
        </row>
        <row r="16">
          <cell r="E16">
            <v>580.75</v>
          </cell>
          <cell r="F16">
            <v>793.24</v>
          </cell>
        </row>
        <row r="17">
          <cell r="E17">
            <v>1610.3</v>
          </cell>
          <cell r="F17">
            <v>1818.68</v>
          </cell>
        </row>
        <row r="18">
          <cell r="E18">
            <v>3.9</v>
          </cell>
          <cell r="F18">
            <v>0</v>
          </cell>
        </row>
        <row r="19">
          <cell r="E19">
            <v>341.6</v>
          </cell>
          <cell r="F19">
            <v>1103.8</v>
          </cell>
        </row>
        <row r="20">
          <cell r="E20">
            <v>2550.55</v>
          </cell>
          <cell r="F20">
            <v>1442.32</v>
          </cell>
        </row>
        <row r="21">
          <cell r="E21">
            <v>69953.35</v>
          </cell>
          <cell r="F21">
            <v>61513.48</v>
          </cell>
        </row>
      </sheetData>
      <sheetData sheetId="5">
        <row r="2">
          <cell r="E2">
            <v>1887</v>
          </cell>
          <cell r="F2">
            <v>162</v>
          </cell>
        </row>
        <row r="4">
          <cell r="E4">
            <v>6</v>
          </cell>
          <cell r="F4">
            <v>211</v>
          </cell>
        </row>
        <row r="6">
          <cell r="E6">
            <v>5725</v>
          </cell>
          <cell r="F6">
            <v>14043</v>
          </cell>
        </row>
        <row r="7">
          <cell r="E7">
            <v>26619</v>
          </cell>
          <cell r="F7">
            <v>42249</v>
          </cell>
        </row>
        <row r="8">
          <cell r="E8">
            <v>10117</v>
          </cell>
          <cell r="F8">
            <v>27728</v>
          </cell>
        </row>
        <row r="9">
          <cell r="E9">
            <v>16983</v>
          </cell>
          <cell r="F9">
            <v>6150</v>
          </cell>
        </row>
        <row r="10">
          <cell r="E10">
            <v>61337</v>
          </cell>
          <cell r="F10">
            <v>90543</v>
          </cell>
        </row>
        <row r="15">
          <cell r="E15">
            <v>151846</v>
          </cell>
          <cell r="F15">
            <v>94210</v>
          </cell>
        </row>
        <row r="16">
          <cell r="E16">
            <v>3274</v>
          </cell>
          <cell r="F16">
            <v>25</v>
          </cell>
        </row>
        <row r="17">
          <cell r="E17">
            <v>186</v>
          </cell>
          <cell r="F17">
            <v>0</v>
          </cell>
        </row>
        <row r="18">
          <cell r="E18">
            <v>808</v>
          </cell>
          <cell r="F18">
            <v>241</v>
          </cell>
        </row>
        <row r="19">
          <cell r="E19">
            <v>156114</v>
          </cell>
          <cell r="F19">
            <v>94476</v>
          </cell>
        </row>
      </sheetData>
      <sheetData sheetId="6">
        <row r="2">
          <cell r="E2">
            <v>3553</v>
          </cell>
          <cell r="F2">
            <v>1768</v>
          </cell>
        </row>
        <row r="3">
          <cell r="E3">
            <v>2866</v>
          </cell>
          <cell r="F3">
            <v>1862</v>
          </cell>
        </row>
        <row r="4">
          <cell r="E4">
            <v>199</v>
          </cell>
          <cell r="F4">
            <v>139</v>
          </cell>
        </row>
        <row r="5">
          <cell r="E5">
            <v>8930</v>
          </cell>
          <cell r="F5">
            <v>7757</v>
          </cell>
        </row>
        <row r="6">
          <cell r="E6">
            <v>5245</v>
          </cell>
          <cell r="F6">
            <v>2411</v>
          </cell>
        </row>
        <row r="7">
          <cell r="E7">
            <v>4124</v>
          </cell>
          <cell r="F7">
            <v>1843</v>
          </cell>
        </row>
        <row r="8">
          <cell r="E8">
            <v>1227</v>
          </cell>
          <cell r="F8">
            <v>878</v>
          </cell>
        </row>
        <row r="9">
          <cell r="E9">
            <v>1196</v>
          </cell>
          <cell r="F9">
            <v>302</v>
          </cell>
        </row>
        <row r="10">
          <cell r="E10">
            <v>176</v>
          </cell>
          <cell r="F10">
            <v>30</v>
          </cell>
        </row>
        <row r="11">
          <cell r="E11">
            <v>2854</v>
          </cell>
          <cell r="F11">
            <v>1143</v>
          </cell>
        </row>
        <row r="12">
          <cell r="E12">
            <v>30370</v>
          </cell>
          <cell r="F12">
            <v>18133</v>
          </cell>
        </row>
        <row r="16">
          <cell r="E16">
            <v>1034</v>
          </cell>
          <cell r="F16">
            <v>1210</v>
          </cell>
        </row>
        <row r="17">
          <cell r="E17">
            <v>0</v>
          </cell>
          <cell r="F17">
            <v>0</v>
          </cell>
        </row>
        <row r="18">
          <cell r="E18">
            <v>159</v>
          </cell>
          <cell r="F18">
            <v>75</v>
          </cell>
        </row>
        <row r="19">
          <cell r="E19">
            <v>299</v>
          </cell>
          <cell r="F19">
            <v>0</v>
          </cell>
        </row>
        <row r="20">
          <cell r="E20">
            <v>42</v>
          </cell>
          <cell r="F20">
            <v>6</v>
          </cell>
        </row>
        <row r="21">
          <cell r="E21">
            <v>1534</v>
          </cell>
          <cell r="F21">
            <v>1291</v>
          </cell>
        </row>
      </sheetData>
      <sheetData sheetId="7">
        <row r="3">
          <cell r="F3">
            <v>270</v>
          </cell>
        </row>
        <row r="5">
          <cell r="E5">
            <v>1118</v>
          </cell>
          <cell r="F5">
            <v>714</v>
          </cell>
        </row>
        <row r="7">
          <cell r="E7">
            <v>8</v>
          </cell>
          <cell r="F7">
            <v>25</v>
          </cell>
        </row>
        <row r="11">
          <cell r="F11">
            <v>7</v>
          </cell>
        </row>
        <row r="13">
          <cell r="E13">
            <v>5</v>
          </cell>
        </row>
        <row r="14">
          <cell r="E14">
            <v>1090</v>
          </cell>
          <cell r="F14">
            <v>630</v>
          </cell>
        </row>
        <row r="18">
          <cell r="E18">
            <v>763</v>
          </cell>
          <cell r="F18">
            <v>909</v>
          </cell>
        </row>
        <row r="19">
          <cell r="F19">
            <v>66</v>
          </cell>
        </row>
        <row r="20">
          <cell r="E20">
            <v>2984</v>
          </cell>
          <cell r="F20">
            <v>2621</v>
          </cell>
        </row>
        <row r="24">
          <cell r="E24">
            <v>4</v>
          </cell>
          <cell r="F24">
            <v>4</v>
          </cell>
        </row>
        <row r="26">
          <cell r="E26">
            <v>15</v>
          </cell>
          <cell r="F26">
            <v>26</v>
          </cell>
        </row>
        <row r="27">
          <cell r="E27">
            <v>19</v>
          </cell>
          <cell r="F27">
            <v>30</v>
          </cell>
        </row>
      </sheetData>
      <sheetData sheetId="8">
        <row r="2">
          <cell r="E2">
            <v>4772</v>
          </cell>
          <cell r="F2">
            <v>4461</v>
          </cell>
        </row>
        <row r="3">
          <cell r="E3">
            <v>14522</v>
          </cell>
          <cell r="F3">
            <v>17714</v>
          </cell>
        </row>
        <row r="4">
          <cell r="E4">
            <v>250</v>
          </cell>
          <cell r="F4">
            <v>761</v>
          </cell>
        </row>
        <row r="5">
          <cell r="E5">
            <v>12829</v>
          </cell>
          <cell r="F5">
            <v>19722</v>
          </cell>
        </row>
        <row r="6">
          <cell r="F6">
            <v>0</v>
          </cell>
        </row>
        <row r="7">
          <cell r="E7">
            <v>2541</v>
          </cell>
          <cell r="F7">
            <v>3571</v>
          </cell>
        </row>
        <row r="8">
          <cell r="E8">
            <v>63236</v>
          </cell>
          <cell r="F8">
            <v>59492</v>
          </cell>
        </row>
        <row r="9">
          <cell r="E9">
            <v>405</v>
          </cell>
          <cell r="F9">
            <v>761</v>
          </cell>
        </row>
        <row r="10">
          <cell r="E10">
            <v>14393</v>
          </cell>
          <cell r="F10">
            <v>20806</v>
          </cell>
        </row>
        <row r="11">
          <cell r="E11">
            <v>60288</v>
          </cell>
          <cell r="F11">
            <v>52808</v>
          </cell>
        </row>
        <row r="12">
          <cell r="E12">
            <v>96263</v>
          </cell>
          <cell r="F12">
            <v>148032</v>
          </cell>
        </row>
        <row r="13">
          <cell r="E13">
            <v>2053</v>
          </cell>
          <cell r="F13">
            <v>2492</v>
          </cell>
        </row>
        <row r="14">
          <cell r="E14">
            <v>45900</v>
          </cell>
          <cell r="F14">
            <v>43091</v>
          </cell>
        </row>
        <row r="15">
          <cell r="E15">
            <v>375</v>
          </cell>
          <cell r="F15">
            <v>4359</v>
          </cell>
        </row>
        <row r="16">
          <cell r="E16">
            <v>738</v>
          </cell>
          <cell r="F16">
            <v>1158</v>
          </cell>
        </row>
        <row r="17">
          <cell r="E17">
            <v>11034</v>
          </cell>
          <cell r="F17">
            <v>14506</v>
          </cell>
        </row>
        <row r="18">
          <cell r="E18">
            <v>8999</v>
          </cell>
          <cell r="F18">
            <v>12268</v>
          </cell>
        </row>
        <row r="19">
          <cell r="E19">
            <v>8927</v>
          </cell>
          <cell r="F19">
            <v>12963</v>
          </cell>
        </row>
        <row r="20">
          <cell r="E20">
            <v>129</v>
          </cell>
          <cell r="F20">
            <v>204</v>
          </cell>
        </row>
        <row r="21">
          <cell r="E21">
            <v>7842</v>
          </cell>
          <cell r="F21">
            <v>8368</v>
          </cell>
        </row>
        <row r="22">
          <cell r="E22">
            <v>389</v>
          </cell>
          <cell r="F22">
            <v>999</v>
          </cell>
        </row>
        <row r="23">
          <cell r="E23">
            <v>8468</v>
          </cell>
          <cell r="F23">
            <v>9225</v>
          </cell>
        </row>
        <row r="24">
          <cell r="E24">
            <v>1272</v>
          </cell>
          <cell r="F24">
            <v>1755</v>
          </cell>
        </row>
        <row r="25">
          <cell r="E25">
            <v>13486</v>
          </cell>
          <cell r="F25">
            <v>7402</v>
          </cell>
        </row>
        <row r="26">
          <cell r="E26">
            <v>379111</v>
          </cell>
          <cell r="F26">
            <v>446918</v>
          </cell>
        </row>
        <row r="30">
          <cell r="E30">
            <v>2022</v>
          </cell>
          <cell r="F30">
            <v>605</v>
          </cell>
        </row>
        <row r="31">
          <cell r="F31">
            <v>0</v>
          </cell>
        </row>
        <row r="32">
          <cell r="E32">
            <v>1639</v>
          </cell>
          <cell r="F32">
            <v>1461</v>
          </cell>
        </row>
        <row r="33">
          <cell r="E33">
            <v>89</v>
          </cell>
          <cell r="F33">
            <v>102</v>
          </cell>
        </row>
        <row r="35">
          <cell r="E35">
            <v>132</v>
          </cell>
          <cell r="F35">
            <v>143</v>
          </cell>
        </row>
        <row r="37">
          <cell r="E37">
            <v>362</v>
          </cell>
          <cell r="F37">
            <v>105</v>
          </cell>
        </row>
        <row r="38">
          <cell r="E38">
            <v>4244</v>
          </cell>
          <cell r="F38">
            <v>2416</v>
          </cell>
        </row>
      </sheetData>
      <sheetData sheetId="9">
        <row r="2">
          <cell r="E2">
            <v>300</v>
          </cell>
          <cell r="F2">
            <v>2190</v>
          </cell>
        </row>
        <row r="3">
          <cell r="E3">
            <v>18181</v>
          </cell>
          <cell r="F3">
            <v>16498</v>
          </cell>
        </row>
        <row r="4">
          <cell r="E4">
            <v>0</v>
          </cell>
          <cell r="F4">
            <v>0</v>
          </cell>
        </row>
        <row r="5">
          <cell r="E5">
            <v>31884</v>
          </cell>
          <cell r="F5">
            <v>33951</v>
          </cell>
        </row>
        <row r="6">
          <cell r="E6">
            <v>5880</v>
          </cell>
          <cell r="F6">
            <v>4742</v>
          </cell>
        </row>
        <row r="7">
          <cell r="E7">
            <v>14723</v>
          </cell>
          <cell r="F7">
            <v>9343</v>
          </cell>
        </row>
        <row r="8">
          <cell r="E8">
            <v>60</v>
          </cell>
        </row>
        <row r="9">
          <cell r="E9">
            <v>2996</v>
          </cell>
          <cell r="F9">
            <v>2496</v>
          </cell>
        </row>
        <row r="10">
          <cell r="E10">
            <v>100</v>
          </cell>
        </row>
        <row r="11">
          <cell r="E11">
            <v>5698</v>
          </cell>
          <cell r="F11">
            <v>3282</v>
          </cell>
        </row>
        <row r="12">
          <cell r="E12">
            <v>0</v>
          </cell>
        </row>
        <row r="13">
          <cell r="E13">
            <v>8663</v>
          </cell>
          <cell r="F13">
            <v>10123</v>
          </cell>
        </row>
        <row r="14">
          <cell r="E14">
            <v>25190</v>
          </cell>
          <cell r="F14">
            <v>23231</v>
          </cell>
        </row>
        <row r="15">
          <cell r="E15">
            <v>5043</v>
          </cell>
          <cell r="F15">
            <v>5273</v>
          </cell>
        </row>
        <row r="16">
          <cell r="E16">
            <v>46161</v>
          </cell>
          <cell r="F16">
            <v>43257</v>
          </cell>
        </row>
        <row r="17">
          <cell r="E17">
            <v>278</v>
          </cell>
          <cell r="F17">
            <v>73</v>
          </cell>
        </row>
        <row r="18">
          <cell r="E18">
            <v>1298</v>
          </cell>
          <cell r="F18">
            <v>719</v>
          </cell>
        </row>
        <row r="19">
          <cell r="E19">
            <v>28748</v>
          </cell>
          <cell r="F19">
            <v>14326</v>
          </cell>
        </row>
        <row r="20">
          <cell r="E20">
            <v>1914</v>
          </cell>
          <cell r="F20">
            <v>2539</v>
          </cell>
        </row>
        <row r="21">
          <cell r="E21">
            <v>197117</v>
          </cell>
          <cell r="F21">
            <v>172043</v>
          </cell>
        </row>
        <row r="25">
          <cell r="E25">
            <v>1554</v>
          </cell>
          <cell r="F25">
            <v>1140</v>
          </cell>
        </row>
        <row r="26">
          <cell r="E26">
            <v>1554</v>
          </cell>
          <cell r="F26">
            <v>1140</v>
          </cell>
        </row>
      </sheetData>
      <sheetData sheetId="10">
        <row r="2">
          <cell r="F2">
            <v>0</v>
          </cell>
        </row>
        <row r="3">
          <cell r="E3">
            <v>28651.8</v>
          </cell>
          <cell r="F3">
            <v>34169</v>
          </cell>
        </row>
        <row r="4">
          <cell r="E4">
            <v>52102.8</v>
          </cell>
          <cell r="F4">
            <v>37908</v>
          </cell>
        </row>
        <row r="5">
          <cell r="F5">
            <v>0</v>
          </cell>
        </row>
        <row r="6">
          <cell r="E6">
            <v>68797</v>
          </cell>
          <cell r="F6">
            <v>59184</v>
          </cell>
        </row>
        <row r="7">
          <cell r="E7">
            <v>42477.509999999995</v>
          </cell>
          <cell r="F7">
            <v>47048</v>
          </cell>
        </row>
        <row r="8">
          <cell r="F8">
            <v>0</v>
          </cell>
        </row>
        <row r="9">
          <cell r="E9">
            <v>355454.5</v>
          </cell>
          <cell r="F9">
            <v>396281</v>
          </cell>
        </row>
        <row r="10">
          <cell r="E10">
            <v>68590.25</v>
          </cell>
          <cell r="F10">
            <v>40829</v>
          </cell>
        </row>
        <row r="11">
          <cell r="F11">
            <v>0</v>
          </cell>
        </row>
        <row r="12">
          <cell r="E12">
            <v>2017</v>
          </cell>
          <cell r="F12">
            <v>4131</v>
          </cell>
        </row>
        <row r="13">
          <cell r="F13">
            <v>0</v>
          </cell>
        </row>
        <row r="14">
          <cell r="E14">
            <v>10891.4</v>
          </cell>
          <cell r="F14">
            <v>7867</v>
          </cell>
        </row>
        <row r="15">
          <cell r="E15">
            <v>33980.7</v>
          </cell>
          <cell r="F15">
            <v>26603</v>
          </cell>
        </row>
        <row r="16">
          <cell r="E16">
            <v>99134.67</v>
          </cell>
          <cell r="F16">
            <v>76591</v>
          </cell>
        </row>
        <row r="17">
          <cell r="E17">
            <v>16432.86</v>
          </cell>
          <cell r="F17">
            <v>8759</v>
          </cell>
        </row>
        <row r="19">
          <cell r="E19">
            <v>52696</v>
          </cell>
          <cell r="F19">
            <v>41667</v>
          </cell>
        </row>
        <row r="20">
          <cell r="E20">
            <v>831226.49</v>
          </cell>
          <cell r="F20">
            <v>781037</v>
          </cell>
        </row>
        <row r="24">
          <cell r="E24">
            <v>49577.10776239264</v>
          </cell>
          <cell r="F24">
            <v>0</v>
          </cell>
        </row>
        <row r="25">
          <cell r="E25">
            <v>14290.719678588026</v>
          </cell>
          <cell r="F25">
            <v>0</v>
          </cell>
        </row>
        <row r="26">
          <cell r="E26">
            <v>1147.918380521979</v>
          </cell>
          <cell r="F26">
            <v>0</v>
          </cell>
        </row>
        <row r="27">
          <cell r="E27">
            <v>13921.610409453058</v>
          </cell>
          <cell r="F27">
            <v>0</v>
          </cell>
        </row>
        <row r="28">
          <cell r="E28">
            <v>5113.096556690207</v>
          </cell>
          <cell r="F28">
            <v>0</v>
          </cell>
        </row>
        <row r="29">
          <cell r="E29">
            <v>84050.4527876459</v>
          </cell>
          <cell r="F29">
            <v>0</v>
          </cell>
        </row>
      </sheetData>
      <sheetData sheetId="11">
        <row r="5">
          <cell r="E5">
            <v>65000</v>
          </cell>
          <cell r="F5">
            <v>30000</v>
          </cell>
        </row>
        <row r="6">
          <cell r="E6">
            <v>55000</v>
          </cell>
          <cell r="F6">
            <v>50000</v>
          </cell>
        </row>
        <row r="7">
          <cell r="E7">
            <v>85000</v>
          </cell>
          <cell r="F7">
            <v>80000</v>
          </cell>
        </row>
        <row r="8">
          <cell r="E8">
            <v>170000</v>
          </cell>
          <cell r="F8">
            <v>110000</v>
          </cell>
        </row>
        <row r="9">
          <cell r="E9">
            <v>60000</v>
          </cell>
          <cell r="F9">
            <v>20000</v>
          </cell>
        </row>
        <row r="10">
          <cell r="E10">
            <v>70000</v>
          </cell>
          <cell r="F10">
            <v>15000</v>
          </cell>
        </row>
        <row r="12">
          <cell r="E12">
            <v>15000</v>
          </cell>
          <cell r="F12">
            <v>5000</v>
          </cell>
        </row>
        <row r="13">
          <cell r="E13">
            <v>7000</v>
          </cell>
          <cell r="F13">
            <v>2000</v>
          </cell>
        </row>
        <row r="14">
          <cell r="E14">
            <v>80000</v>
          </cell>
          <cell r="F14">
            <v>50000</v>
          </cell>
        </row>
        <row r="15">
          <cell r="E15">
            <v>80000</v>
          </cell>
          <cell r="F15">
            <v>60000</v>
          </cell>
        </row>
        <row r="17">
          <cell r="E17">
            <v>150000</v>
          </cell>
          <cell r="F17">
            <v>50000</v>
          </cell>
        </row>
        <row r="18">
          <cell r="E18">
            <v>837000</v>
          </cell>
          <cell r="F18">
            <v>472000</v>
          </cell>
        </row>
        <row r="22">
          <cell r="E22">
            <v>2000</v>
          </cell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E25">
            <v>2000</v>
          </cell>
          <cell r="F25">
            <v>0</v>
          </cell>
        </row>
      </sheetData>
      <sheetData sheetId="13">
        <row r="2">
          <cell r="E2">
            <v>13237.307737135809</v>
          </cell>
          <cell r="F2">
            <v>16346.97722309185</v>
          </cell>
        </row>
        <row r="3">
          <cell r="E3">
            <v>3971.2664402623295</v>
          </cell>
          <cell r="F3">
            <v>2773.104072042908</v>
          </cell>
        </row>
        <row r="4">
          <cell r="E4">
            <v>62151.86986136143</v>
          </cell>
          <cell r="F4">
            <v>123040.72993710985</v>
          </cell>
        </row>
        <row r="5">
          <cell r="E5">
            <v>12463.886365624348</v>
          </cell>
          <cell r="F5">
            <v>16084.063989450096</v>
          </cell>
        </row>
        <row r="6">
          <cell r="E6">
            <v>8745.890586762584</v>
          </cell>
          <cell r="F6">
            <v>13671.253878470032</v>
          </cell>
        </row>
        <row r="7">
          <cell r="E7">
            <v>12895.29</v>
          </cell>
          <cell r="F7">
            <v>15818.9</v>
          </cell>
        </row>
        <row r="8">
          <cell r="E8">
            <v>113465.5109911465</v>
          </cell>
          <cell r="F8">
            <v>187735.02910016474</v>
          </cell>
        </row>
        <row r="12">
          <cell r="E12">
            <v>1439.5018967474025</v>
          </cell>
          <cell r="F12">
            <v>1739.8742145811325</v>
          </cell>
        </row>
        <row r="13">
          <cell r="E13">
            <v>3431.3924933450667</v>
          </cell>
          <cell r="F13">
            <v>1760.6126604602193</v>
          </cell>
        </row>
        <row r="14">
          <cell r="E14">
            <v>30540.121002930086</v>
          </cell>
          <cell r="F14">
            <v>37091.54595388226</v>
          </cell>
        </row>
        <row r="15">
          <cell r="E15">
            <v>0</v>
          </cell>
          <cell r="F15">
            <v>1.1464038628572113</v>
          </cell>
        </row>
        <row r="16">
          <cell r="E16">
            <v>1125.4251515341675</v>
          </cell>
          <cell r="F16">
            <v>1203.2439106883103</v>
          </cell>
        </row>
        <row r="17">
          <cell r="E17">
            <v>36536.440544556724</v>
          </cell>
          <cell r="F17">
            <v>41796.42314347478</v>
          </cell>
        </row>
      </sheetData>
      <sheetData sheetId="14">
        <row r="2">
          <cell r="E2">
            <v>4</v>
          </cell>
          <cell r="F2">
            <v>3</v>
          </cell>
        </row>
        <row r="3">
          <cell r="E3">
            <v>5791</v>
          </cell>
          <cell r="F3">
            <v>5151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15028</v>
          </cell>
          <cell r="F6">
            <v>13677</v>
          </cell>
        </row>
        <row r="7">
          <cell r="E7">
            <v>44</v>
          </cell>
          <cell r="F7">
            <v>26</v>
          </cell>
        </row>
        <row r="8">
          <cell r="E8">
            <v>7802</v>
          </cell>
          <cell r="F8">
            <v>8815</v>
          </cell>
        </row>
        <row r="9">
          <cell r="E9">
            <v>109</v>
          </cell>
          <cell r="F9">
            <v>127</v>
          </cell>
        </row>
        <row r="10">
          <cell r="E10">
            <v>409</v>
          </cell>
          <cell r="F10">
            <v>198</v>
          </cell>
        </row>
        <row r="11">
          <cell r="E11">
            <v>955</v>
          </cell>
          <cell r="F11">
            <v>1838</v>
          </cell>
        </row>
        <row r="12">
          <cell r="E12">
            <v>105</v>
          </cell>
          <cell r="F12">
            <v>0</v>
          </cell>
        </row>
        <row r="13">
          <cell r="E13">
            <v>139</v>
          </cell>
          <cell r="F13">
            <v>27</v>
          </cell>
        </row>
        <row r="14">
          <cell r="E14">
            <v>402</v>
          </cell>
          <cell r="F14">
            <v>28</v>
          </cell>
        </row>
        <row r="15">
          <cell r="E15">
            <v>23</v>
          </cell>
          <cell r="F15">
            <v>0</v>
          </cell>
        </row>
        <row r="16">
          <cell r="E16">
            <v>156</v>
          </cell>
          <cell r="F16">
            <v>22</v>
          </cell>
        </row>
        <row r="17">
          <cell r="E17">
            <v>7383</v>
          </cell>
          <cell r="F17">
            <v>6450</v>
          </cell>
        </row>
        <row r="18">
          <cell r="E18">
            <v>2874</v>
          </cell>
          <cell r="F18">
            <v>1835</v>
          </cell>
        </row>
        <row r="19">
          <cell r="E19">
            <v>41224</v>
          </cell>
          <cell r="F19">
            <v>38197</v>
          </cell>
        </row>
        <row r="23">
          <cell r="E23">
            <v>2894</v>
          </cell>
          <cell r="F23">
            <v>3532</v>
          </cell>
        </row>
        <row r="24">
          <cell r="E24">
            <v>227</v>
          </cell>
          <cell r="F24">
            <v>522</v>
          </cell>
        </row>
        <row r="25">
          <cell r="E25">
            <v>361</v>
          </cell>
          <cell r="F25">
            <v>127</v>
          </cell>
        </row>
        <row r="26">
          <cell r="E26">
            <v>0</v>
          </cell>
          <cell r="F26">
            <v>25</v>
          </cell>
        </row>
        <row r="27">
          <cell r="E27">
            <v>131</v>
          </cell>
          <cell r="F27">
            <v>105</v>
          </cell>
        </row>
        <row r="28">
          <cell r="E28">
            <v>3613</v>
          </cell>
          <cell r="F28">
            <v>4311</v>
          </cell>
        </row>
      </sheetData>
      <sheetData sheetId="15">
        <row r="2">
          <cell r="E2">
            <v>641</v>
          </cell>
          <cell r="F2">
            <v>1371</v>
          </cell>
        </row>
        <row r="3">
          <cell r="E3">
            <v>19774</v>
          </cell>
          <cell r="F3">
            <v>45220</v>
          </cell>
        </row>
        <row r="4">
          <cell r="E4">
            <v>3001</v>
          </cell>
          <cell r="F4">
            <v>3898</v>
          </cell>
        </row>
        <row r="5">
          <cell r="E5">
            <v>30068</v>
          </cell>
          <cell r="F5">
            <v>36484</v>
          </cell>
        </row>
        <row r="6">
          <cell r="E6">
            <v>19598</v>
          </cell>
          <cell r="F6">
            <v>22667</v>
          </cell>
        </row>
        <row r="7">
          <cell r="E7">
            <v>5210</v>
          </cell>
          <cell r="F7">
            <v>5058</v>
          </cell>
        </row>
        <row r="8">
          <cell r="E8">
            <v>78292</v>
          </cell>
          <cell r="F8">
            <v>114698</v>
          </cell>
        </row>
        <row r="12">
          <cell r="E12">
            <v>131526</v>
          </cell>
          <cell r="F12">
            <v>114992</v>
          </cell>
        </row>
        <row r="13">
          <cell r="E13">
            <v>206</v>
          </cell>
          <cell r="F13">
            <v>445</v>
          </cell>
        </row>
        <row r="14">
          <cell r="E14">
            <v>6122</v>
          </cell>
          <cell r="F14">
            <v>5822</v>
          </cell>
        </row>
        <row r="15">
          <cell r="E15">
            <v>137854</v>
          </cell>
          <cell r="F15">
            <v>121259</v>
          </cell>
        </row>
      </sheetData>
      <sheetData sheetId="16">
        <row r="2">
          <cell r="E2">
            <v>10030</v>
          </cell>
          <cell r="F2">
            <v>10839</v>
          </cell>
        </row>
        <row r="3">
          <cell r="E3">
            <v>19285</v>
          </cell>
          <cell r="F3">
            <v>19072</v>
          </cell>
        </row>
        <row r="4">
          <cell r="E4">
            <v>3371</v>
          </cell>
          <cell r="F4">
            <v>1474</v>
          </cell>
        </row>
        <row r="5">
          <cell r="E5">
            <v>812</v>
          </cell>
          <cell r="F5">
            <v>1182</v>
          </cell>
        </row>
        <row r="6">
          <cell r="E6">
            <v>18952</v>
          </cell>
          <cell r="F6">
            <v>21057</v>
          </cell>
        </row>
        <row r="7">
          <cell r="E7">
            <v>0</v>
          </cell>
          <cell r="F7">
            <v>56</v>
          </cell>
        </row>
        <row r="9">
          <cell r="E9">
            <v>151</v>
          </cell>
          <cell r="F9">
            <v>80</v>
          </cell>
        </row>
        <row r="10">
          <cell r="E10">
            <v>4926</v>
          </cell>
          <cell r="F10">
            <v>4988</v>
          </cell>
        </row>
        <row r="11">
          <cell r="E11">
            <v>413</v>
          </cell>
          <cell r="F11">
            <v>1747</v>
          </cell>
        </row>
        <row r="12">
          <cell r="E12">
            <v>57940</v>
          </cell>
          <cell r="F12">
            <v>60495</v>
          </cell>
        </row>
        <row r="16">
          <cell r="E16">
            <v>2708</v>
          </cell>
          <cell r="F16">
            <v>1470</v>
          </cell>
        </row>
        <row r="17">
          <cell r="E17">
            <v>239</v>
          </cell>
          <cell r="F17">
            <v>0</v>
          </cell>
        </row>
        <row r="18">
          <cell r="E18">
            <v>284</v>
          </cell>
          <cell r="F18">
            <v>105</v>
          </cell>
        </row>
        <row r="19">
          <cell r="E19">
            <v>3231</v>
          </cell>
          <cell r="F19">
            <v>1575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zoomScale="90" zoomScaleNormal="90" zoomScalePageLayoutView="0" workbookViewId="0" topLeftCell="A13">
      <selection activeCell="E6" sqref="E6"/>
    </sheetView>
  </sheetViews>
  <sheetFormatPr defaultColWidth="8.8515625" defaultRowHeight="12.75"/>
  <cols>
    <col min="1" max="2" width="8.8515625" style="0" customWidth="1"/>
    <col min="3" max="3" width="18.28125" style="0" customWidth="1"/>
  </cols>
  <sheetData>
    <row r="19" spans="2:7" ht="12.75">
      <c r="B19" s="3" t="s">
        <v>179</v>
      </c>
      <c r="G19" s="92" t="s">
        <v>143</v>
      </c>
    </row>
    <row r="21" spans="2:3" ht="12.75">
      <c r="B21" t="s">
        <v>62</v>
      </c>
      <c r="C21" t="s">
        <v>63</v>
      </c>
    </row>
    <row r="22" ht="12.75">
      <c r="C22" t="s">
        <v>64</v>
      </c>
    </row>
    <row r="23" ht="12.75">
      <c r="C23" t="s">
        <v>90</v>
      </c>
    </row>
    <row r="24" ht="12.75">
      <c r="C24" s="3" t="s">
        <v>118</v>
      </c>
    </row>
    <row r="26" spans="2:4" ht="12.75">
      <c r="B26" t="s">
        <v>65</v>
      </c>
      <c r="C26" t="s">
        <v>66</v>
      </c>
      <c r="D26" t="s">
        <v>67</v>
      </c>
    </row>
    <row r="27" spans="3:4" ht="12.75">
      <c r="C27" t="s">
        <v>68</v>
      </c>
      <c r="D27" t="s">
        <v>69</v>
      </c>
    </row>
    <row r="28" spans="3:4" ht="12.75">
      <c r="C28" t="s">
        <v>70</v>
      </c>
      <c r="D28" t="s">
        <v>71</v>
      </c>
    </row>
    <row r="29" spans="3:4" ht="12.75">
      <c r="C29" t="s">
        <v>72</v>
      </c>
      <c r="D29" s="3" t="s">
        <v>86</v>
      </c>
    </row>
    <row r="30" spans="3:4" ht="12.75">
      <c r="C30" s="3" t="s">
        <v>135</v>
      </c>
      <c r="D30" t="s">
        <v>73</v>
      </c>
    </row>
    <row r="31" spans="3:4" ht="12.75">
      <c r="C31" t="s">
        <v>74</v>
      </c>
      <c r="D31" t="s">
        <v>131</v>
      </c>
    </row>
    <row r="32" spans="3:4" ht="12.75">
      <c r="C32" t="s">
        <v>75</v>
      </c>
      <c r="D32" t="s">
        <v>130</v>
      </c>
    </row>
    <row r="33" spans="3:4" ht="12.75">
      <c r="C33" t="s">
        <v>76</v>
      </c>
      <c r="D33" t="s">
        <v>77</v>
      </c>
    </row>
    <row r="34" spans="3:4" ht="12.75">
      <c r="C34" t="s">
        <v>78</v>
      </c>
      <c r="D34" s="26" t="s">
        <v>85</v>
      </c>
    </row>
    <row r="35" spans="3:4" ht="12.75">
      <c r="C35" t="s">
        <v>144</v>
      </c>
      <c r="D35" s="26" t="s">
        <v>145</v>
      </c>
    </row>
    <row r="36" spans="3:4" ht="12.75">
      <c r="C36" t="s">
        <v>80</v>
      </c>
      <c r="D36" t="s">
        <v>158</v>
      </c>
    </row>
    <row r="37" spans="3:4" ht="12.75">
      <c r="C37" t="s">
        <v>79</v>
      </c>
      <c r="D37" t="s">
        <v>84</v>
      </c>
    </row>
    <row r="38" spans="3:4" ht="12.75">
      <c r="C38" t="s">
        <v>81</v>
      </c>
      <c r="D38" t="s">
        <v>83</v>
      </c>
    </row>
    <row r="39" spans="3:4" ht="12.75">
      <c r="C39" t="s">
        <v>82</v>
      </c>
      <c r="D39" t="s">
        <v>170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E32" sqref="E32"/>
    </sheetView>
  </sheetViews>
  <sheetFormatPr defaultColWidth="8.8515625" defaultRowHeight="12.75"/>
  <cols>
    <col min="1" max="1" width="24.8515625" style="0" customWidth="1"/>
    <col min="2" max="2" width="10.8515625" style="0" customWidth="1"/>
    <col min="3" max="3" width="11.7109375" style="0" bestFit="1" customWidth="1"/>
    <col min="4" max="4" width="11.7109375" style="9" bestFit="1" customWidth="1"/>
    <col min="5" max="6" width="11.7109375" style="9" customWidth="1"/>
    <col min="7" max="7" width="11.7109375" style="0" customWidth="1"/>
    <col min="8" max="8" width="11.140625" style="9" customWidth="1"/>
    <col min="9" max="9" width="10.8515625" style="0" customWidth="1"/>
    <col min="10" max="17" width="10.140625" style="9" bestFit="1" customWidth="1"/>
    <col min="18" max="19" width="10.140625" style="0" bestFit="1" customWidth="1"/>
  </cols>
  <sheetData>
    <row r="1" spans="1:19" ht="13.5" thickBot="1">
      <c r="A1" s="52" t="s">
        <v>24</v>
      </c>
      <c r="B1" s="32" t="s">
        <v>178</v>
      </c>
      <c r="C1" s="162" t="s">
        <v>177</v>
      </c>
      <c r="D1" s="93" t="s">
        <v>171</v>
      </c>
      <c r="E1" s="165">
        <v>44287</v>
      </c>
      <c r="F1" s="132">
        <v>43922</v>
      </c>
      <c r="G1" s="132">
        <v>43556</v>
      </c>
      <c r="H1" s="132">
        <v>43191</v>
      </c>
      <c r="I1" s="33">
        <v>42826</v>
      </c>
      <c r="J1" s="33">
        <v>42461</v>
      </c>
      <c r="K1" s="33">
        <v>42095</v>
      </c>
      <c r="L1" s="33">
        <v>41730</v>
      </c>
      <c r="M1" s="33">
        <v>41365</v>
      </c>
      <c r="N1" s="33">
        <v>41000</v>
      </c>
      <c r="O1" s="33">
        <v>40634</v>
      </c>
      <c r="P1" s="33">
        <v>40269</v>
      </c>
      <c r="Q1" s="33">
        <v>39904</v>
      </c>
      <c r="R1" s="33">
        <v>39539</v>
      </c>
      <c r="S1" s="34">
        <v>39173</v>
      </c>
    </row>
    <row r="2" spans="1:19" ht="12.75">
      <c r="A2" s="53" t="s">
        <v>4</v>
      </c>
      <c r="B2" s="58">
        <f>(E2-F2)/F2</f>
        <v>-1</v>
      </c>
      <c r="C2" s="141">
        <f>E2-'[1]Germany'!E2</f>
        <v>-300</v>
      </c>
      <c r="D2" s="81">
        <f>F2-'[1]Germany'!F2</f>
        <v>-859</v>
      </c>
      <c r="E2" s="159">
        <v>0</v>
      </c>
      <c r="F2" s="81">
        <v>1331</v>
      </c>
      <c r="G2" s="81">
        <v>3091</v>
      </c>
      <c r="H2" s="81">
        <v>0</v>
      </c>
      <c r="I2" s="81">
        <v>3751</v>
      </c>
      <c r="J2" s="81">
        <v>259</v>
      </c>
      <c r="K2" s="81">
        <v>3230</v>
      </c>
      <c r="L2" s="81">
        <v>182</v>
      </c>
      <c r="M2" s="81">
        <v>18</v>
      </c>
      <c r="N2" s="81">
        <v>60</v>
      </c>
      <c r="O2" s="81">
        <v>186</v>
      </c>
      <c r="P2" s="81">
        <v>306</v>
      </c>
      <c r="Q2" s="81">
        <v>1902</v>
      </c>
      <c r="R2" s="51">
        <v>209</v>
      </c>
      <c r="S2" s="75">
        <v>1629</v>
      </c>
    </row>
    <row r="3" spans="1:19" ht="12.75">
      <c r="A3" s="53" t="s">
        <v>11</v>
      </c>
      <c r="B3" s="58">
        <f aca="true" t="shared" si="0" ref="B3:B21">(E3-F3)/F3</f>
        <v>0.024687595245352027</v>
      </c>
      <c r="C3" s="141">
        <f>E3-'[1]Germany'!E3</f>
        <v>-11457</v>
      </c>
      <c r="D3" s="81">
        <f>F3-'[1]Germany'!F3</f>
        <v>-9936</v>
      </c>
      <c r="E3" s="159">
        <v>6724</v>
      </c>
      <c r="F3" s="81">
        <v>6562</v>
      </c>
      <c r="G3" s="81">
        <v>11509</v>
      </c>
      <c r="H3" s="81">
        <v>525</v>
      </c>
      <c r="I3" s="81">
        <v>3981</v>
      </c>
      <c r="J3" s="81">
        <v>8738</v>
      </c>
      <c r="K3" s="81">
        <v>5345</v>
      </c>
      <c r="L3" s="81">
        <v>5483</v>
      </c>
      <c r="M3" s="81">
        <v>2898</v>
      </c>
      <c r="N3" s="81">
        <v>4506</v>
      </c>
      <c r="O3" s="81">
        <v>3385</v>
      </c>
      <c r="P3" s="81">
        <v>3964</v>
      </c>
      <c r="Q3" s="81">
        <v>1975</v>
      </c>
      <c r="R3" s="51">
        <v>3670</v>
      </c>
      <c r="S3" s="75">
        <v>2255</v>
      </c>
    </row>
    <row r="4" spans="1:19" ht="12.75">
      <c r="A4" s="53" t="s">
        <v>5</v>
      </c>
      <c r="B4" s="58"/>
      <c r="C4" s="141">
        <f>E4-'[1]Germany'!E4</f>
        <v>0</v>
      </c>
      <c r="D4" s="81">
        <f>F4-'[1]Germany'!F4</f>
        <v>0</v>
      </c>
      <c r="E4" s="159">
        <v>0</v>
      </c>
      <c r="F4" s="81">
        <v>0</v>
      </c>
      <c r="G4" s="81"/>
      <c r="H4" s="81">
        <v>0</v>
      </c>
      <c r="I4" s="81">
        <v>41</v>
      </c>
      <c r="J4" s="81">
        <v>169</v>
      </c>
      <c r="K4" s="81"/>
      <c r="L4" s="81">
        <v>7</v>
      </c>
      <c r="M4" s="81">
        <v>5</v>
      </c>
      <c r="N4" s="81">
        <v>17</v>
      </c>
      <c r="O4" s="81">
        <v>40</v>
      </c>
      <c r="P4" s="81">
        <v>2</v>
      </c>
      <c r="Q4" s="81">
        <v>13</v>
      </c>
      <c r="R4" s="51">
        <v>0</v>
      </c>
      <c r="S4" s="75">
        <v>77</v>
      </c>
    </row>
    <row r="5" spans="1:19" ht="12.75">
      <c r="A5" s="53" t="s">
        <v>2</v>
      </c>
      <c r="B5" s="58">
        <f t="shared" si="0"/>
        <v>-0.027835002155895176</v>
      </c>
      <c r="C5" s="141">
        <f>E5-'[1]Germany'!E5</f>
        <v>-11592</v>
      </c>
      <c r="D5" s="81">
        <f>F5-'[1]Germany'!F5</f>
        <v>-13078</v>
      </c>
      <c r="E5" s="159">
        <v>20292</v>
      </c>
      <c r="F5" s="81">
        <v>20873</v>
      </c>
      <c r="G5" s="81">
        <v>18337</v>
      </c>
      <c r="H5" s="81">
        <v>8568</v>
      </c>
      <c r="I5" s="81">
        <v>18507</v>
      </c>
      <c r="J5" s="81">
        <v>16175</v>
      </c>
      <c r="K5" s="81">
        <v>25375</v>
      </c>
      <c r="L5" s="81">
        <v>11359</v>
      </c>
      <c r="M5" s="81">
        <v>11247</v>
      </c>
      <c r="N5" s="81">
        <v>15370</v>
      </c>
      <c r="O5" s="81">
        <v>11696</v>
      </c>
      <c r="P5" s="81">
        <v>18014</v>
      </c>
      <c r="Q5" s="81">
        <v>10434</v>
      </c>
      <c r="R5" s="51">
        <v>14863</v>
      </c>
      <c r="S5" s="75">
        <v>16288</v>
      </c>
    </row>
    <row r="6" spans="1:19" ht="12.75">
      <c r="A6" s="53" t="s">
        <v>12</v>
      </c>
      <c r="B6" s="58">
        <f t="shared" si="0"/>
        <v>0.1893555394641564</v>
      </c>
      <c r="C6" s="141">
        <f>E6-'[1]Germany'!E6</f>
        <v>-2595</v>
      </c>
      <c r="D6" s="81">
        <f>F6-'[1]Germany'!F6</f>
        <v>-1980</v>
      </c>
      <c r="E6" s="159">
        <v>3285</v>
      </c>
      <c r="F6" s="81">
        <v>2762</v>
      </c>
      <c r="G6" s="81">
        <v>5241</v>
      </c>
      <c r="H6" s="81">
        <v>478</v>
      </c>
      <c r="I6" s="81">
        <v>3503</v>
      </c>
      <c r="J6" s="81">
        <v>2327</v>
      </c>
      <c r="K6" s="81">
        <v>4105</v>
      </c>
      <c r="L6" s="81">
        <v>3118</v>
      </c>
      <c r="M6" s="81">
        <v>98</v>
      </c>
      <c r="N6" s="81">
        <v>1458</v>
      </c>
      <c r="O6" s="81">
        <v>638</v>
      </c>
      <c r="P6" s="81">
        <v>1862</v>
      </c>
      <c r="Q6" s="81">
        <v>713</v>
      </c>
      <c r="R6" s="51">
        <v>1382</v>
      </c>
      <c r="S6" s="75">
        <v>132</v>
      </c>
    </row>
    <row r="7" spans="1:19" ht="12.75">
      <c r="A7" s="53" t="s">
        <v>9</v>
      </c>
      <c r="B7" s="58">
        <f t="shared" si="0"/>
        <v>0.5268569402588194</v>
      </c>
      <c r="C7" s="141">
        <f>E7-'[1]Germany'!E7</f>
        <v>-6110</v>
      </c>
      <c r="D7" s="81">
        <f>F7-'[1]Germany'!F7</f>
        <v>-3702</v>
      </c>
      <c r="E7" s="159">
        <v>8613</v>
      </c>
      <c r="F7" s="81">
        <v>5641</v>
      </c>
      <c r="G7" s="81">
        <v>5539</v>
      </c>
      <c r="H7" s="81">
        <v>2170</v>
      </c>
      <c r="I7" s="81">
        <v>5476</v>
      </c>
      <c r="J7" s="81">
        <v>5443</v>
      </c>
      <c r="K7" s="81">
        <v>2503</v>
      </c>
      <c r="L7" s="81">
        <v>3452</v>
      </c>
      <c r="M7" s="81">
        <v>3284</v>
      </c>
      <c r="N7" s="81">
        <v>1961</v>
      </c>
      <c r="O7" s="81">
        <v>1352</v>
      </c>
      <c r="P7" s="81">
        <v>413</v>
      </c>
      <c r="Q7" s="81">
        <v>1946</v>
      </c>
      <c r="R7" s="51">
        <v>1268</v>
      </c>
      <c r="S7" s="75">
        <v>1065</v>
      </c>
    </row>
    <row r="8" spans="1:19" ht="12.75">
      <c r="A8" s="53" t="s">
        <v>14</v>
      </c>
      <c r="B8" s="58"/>
      <c r="C8" s="141">
        <f>E8-'[1]Germany'!E8</f>
        <v>-60</v>
      </c>
      <c r="D8" s="81">
        <f>F8-'[1]Germany'!F8</f>
        <v>0</v>
      </c>
      <c r="E8" s="159">
        <v>0</v>
      </c>
      <c r="F8" s="81"/>
      <c r="G8" s="81">
        <v>265</v>
      </c>
      <c r="H8" s="81">
        <v>0</v>
      </c>
      <c r="I8" s="81">
        <v>366</v>
      </c>
      <c r="J8" s="81">
        <v>586</v>
      </c>
      <c r="K8" s="81">
        <v>659</v>
      </c>
      <c r="L8" s="81">
        <v>985</v>
      </c>
      <c r="M8" s="81">
        <v>1163</v>
      </c>
      <c r="N8" s="81">
        <v>1749</v>
      </c>
      <c r="O8" s="81">
        <v>1788</v>
      </c>
      <c r="P8" s="81">
        <v>3886</v>
      </c>
      <c r="Q8" s="81">
        <v>4026</v>
      </c>
      <c r="R8" s="51">
        <v>1146</v>
      </c>
      <c r="S8" s="75">
        <v>4825</v>
      </c>
    </row>
    <row r="9" spans="1:19" ht="12.75">
      <c r="A9" s="53" t="s">
        <v>3</v>
      </c>
      <c r="B9" s="58">
        <f t="shared" si="0"/>
        <v>0.11447987454260324</v>
      </c>
      <c r="C9" s="141">
        <f>E9-'[1]Germany'!E9</f>
        <v>-864</v>
      </c>
      <c r="D9" s="81">
        <f>F9-'[1]Germany'!F9</f>
        <v>-583</v>
      </c>
      <c r="E9" s="159">
        <v>2132</v>
      </c>
      <c r="F9" s="81">
        <v>1913</v>
      </c>
      <c r="G9" s="81">
        <v>2269</v>
      </c>
      <c r="H9" s="81">
        <v>742</v>
      </c>
      <c r="I9" s="81">
        <v>6064</v>
      </c>
      <c r="J9" s="81">
        <v>5591</v>
      </c>
      <c r="K9" s="81">
        <v>5281</v>
      </c>
      <c r="L9" s="81">
        <v>6608</v>
      </c>
      <c r="M9" s="81">
        <v>9207</v>
      </c>
      <c r="N9" s="81">
        <v>10589</v>
      </c>
      <c r="O9" s="81">
        <v>7324</v>
      </c>
      <c r="P9" s="81">
        <v>10088</v>
      </c>
      <c r="Q9" s="81">
        <v>13179</v>
      </c>
      <c r="R9" s="51">
        <v>9074</v>
      </c>
      <c r="S9" s="75">
        <v>8118</v>
      </c>
    </row>
    <row r="10" spans="1:19" ht="12.75">
      <c r="A10" s="53" t="s">
        <v>15</v>
      </c>
      <c r="B10" s="58"/>
      <c r="C10" s="141">
        <f>E10-'[1]Germany'!E10</f>
        <v>-100</v>
      </c>
      <c r="D10" s="81">
        <f>F10-'[1]Germany'!F10</f>
        <v>0</v>
      </c>
      <c r="E10" s="159">
        <v>0</v>
      </c>
      <c r="F10" s="81"/>
      <c r="G10" s="81"/>
      <c r="H10" s="81">
        <v>0</v>
      </c>
      <c r="I10" s="81"/>
      <c r="J10" s="81">
        <v>97</v>
      </c>
      <c r="K10" s="81">
        <v>138</v>
      </c>
      <c r="L10" s="81">
        <v>0</v>
      </c>
      <c r="M10" s="81">
        <v>0</v>
      </c>
      <c r="N10" s="81">
        <v>27</v>
      </c>
      <c r="O10" s="81">
        <v>64</v>
      </c>
      <c r="P10" s="81">
        <v>0</v>
      </c>
      <c r="Q10" s="81">
        <v>0</v>
      </c>
      <c r="R10" s="51">
        <v>0</v>
      </c>
      <c r="S10" s="75">
        <v>51</v>
      </c>
    </row>
    <row r="11" spans="1:20" ht="12.75">
      <c r="A11" s="53" t="s">
        <v>10</v>
      </c>
      <c r="B11" s="58">
        <f t="shared" si="0"/>
        <v>0.972723626153229</v>
      </c>
      <c r="C11" s="141">
        <f>E11-'[1]Germany'!E11</f>
        <v>-780</v>
      </c>
      <c r="D11" s="81">
        <f>F11-'[1]Germany'!F11</f>
        <v>-789</v>
      </c>
      <c r="E11" s="159">
        <v>4918</v>
      </c>
      <c r="F11" s="81">
        <v>2493</v>
      </c>
      <c r="G11" s="81">
        <v>7444</v>
      </c>
      <c r="H11" s="81">
        <v>6441</v>
      </c>
      <c r="I11" s="81">
        <v>8653</v>
      </c>
      <c r="J11" s="81">
        <v>14004</v>
      </c>
      <c r="K11" s="81">
        <v>6770</v>
      </c>
      <c r="L11" s="81">
        <v>17169</v>
      </c>
      <c r="M11" s="81">
        <v>18749</v>
      </c>
      <c r="N11" s="81">
        <v>16110</v>
      </c>
      <c r="O11" s="81">
        <v>14018</v>
      </c>
      <c r="P11" s="81">
        <v>19092</v>
      </c>
      <c r="Q11" s="81">
        <v>16606</v>
      </c>
      <c r="R11" s="51">
        <v>9252</v>
      </c>
      <c r="S11" s="75">
        <v>14721</v>
      </c>
      <c r="T11" s="1"/>
    </row>
    <row r="12" spans="1:20" ht="12.75">
      <c r="A12" s="53" t="s">
        <v>99</v>
      </c>
      <c r="B12" s="58"/>
      <c r="C12" s="141">
        <f>E12-'[1]Germany'!E12</f>
        <v>0</v>
      </c>
      <c r="D12" s="81">
        <f>F12-'[1]Germany'!F12</f>
        <v>0</v>
      </c>
      <c r="E12" s="159">
        <v>0</v>
      </c>
      <c r="F12" s="81"/>
      <c r="G12" s="81"/>
      <c r="H12" s="81">
        <v>0</v>
      </c>
      <c r="I12" s="81"/>
      <c r="J12" s="81"/>
      <c r="K12" s="81"/>
      <c r="L12" s="81"/>
      <c r="M12" s="81">
        <v>0</v>
      </c>
      <c r="N12" s="81">
        <v>0</v>
      </c>
      <c r="O12" s="81">
        <v>0</v>
      </c>
      <c r="P12" s="81">
        <v>3</v>
      </c>
      <c r="Q12" s="81">
        <v>0</v>
      </c>
      <c r="R12" s="51">
        <v>0</v>
      </c>
      <c r="S12" s="75">
        <v>0</v>
      </c>
      <c r="T12" s="1"/>
    </row>
    <row r="13" spans="1:20" ht="12.75">
      <c r="A13" s="53" t="s">
        <v>27</v>
      </c>
      <c r="B13" s="58">
        <f t="shared" si="0"/>
        <v>-0.14896616541353383</v>
      </c>
      <c r="C13" s="141">
        <f>E13-'[1]Germany'!E13</f>
        <v>-1419</v>
      </c>
      <c r="D13" s="81">
        <f>F13-'[1]Germany'!F13</f>
        <v>-1611</v>
      </c>
      <c r="E13" s="159">
        <v>7244</v>
      </c>
      <c r="F13" s="81">
        <v>8512</v>
      </c>
      <c r="G13" s="81">
        <v>20592</v>
      </c>
      <c r="H13" s="81">
        <v>5583</v>
      </c>
      <c r="I13" s="81">
        <v>21323</v>
      </c>
      <c r="J13" s="81">
        <v>19529</v>
      </c>
      <c r="K13" s="81">
        <v>25472</v>
      </c>
      <c r="L13" s="81">
        <v>20791</v>
      </c>
      <c r="M13" s="81">
        <v>26912</v>
      </c>
      <c r="N13" s="81">
        <v>33538</v>
      </c>
      <c r="O13" s="81">
        <v>23340</v>
      </c>
      <c r="P13" s="81">
        <v>33376</v>
      </c>
      <c r="Q13" s="81">
        <v>33010</v>
      </c>
      <c r="R13" s="51">
        <v>28894</v>
      </c>
      <c r="S13" s="75">
        <v>30072</v>
      </c>
      <c r="T13" s="1"/>
    </row>
    <row r="14" spans="1:19" ht="12.75">
      <c r="A14" s="53" t="s">
        <v>26</v>
      </c>
      <c r="B14" s="58">
        <f t="shared" si="0"/>
        <v>0.27376511811913645</v>
      </c>
      <c r="C14" s="141">
        <f>E14-'[1]Germany'!E14</f>
        <v>-2652</v>
      </c>
      <c r="D14" s="81">
        <f>F14-'[1]Germany'!F14</f>
        <v>-5537</v>
      </c>
      <c r="E14" s="159">
        <v>22538</v>
      </c>
      <c r="F14" s="81">
        <v>17694</v>
      </c>
      <c r="G14" s="81">
        <v>34667</v>
      </c>
      <c r="H14" s="81">
        <v>13884</v>
      </c>
      <c r="I14" s="81">
        <v>40962</v>
      </c>
      <c r="J14" s="81">
        <v>41125</v>
      </c>
      <c r="K14" s="81">
        <v>47349</v>
      </c>
      <c r="L14" s="81">
        <v>33906</v>
      </c>
      <c r="M14" s="81">
        <v>46297</v>
      </c>
      <c r="N14" s="81">
        <v>46940</v>
      </c>
      <c r="O14" s="81">
        <v>34356</v>
      </c>
      <c r="P14" s="81">
        <v>44835</v>
      </c>
      <c r="Q14" s="81">
        <v>37635</v>
      </c>
      <c r="R14" s="51">
        <v>32179</v>
      </c>
      <c r="S14" s="75">
        <v>35163</v>
      </c>
    </row>
    <row r="15" spans="1:19" ht="12.75">
      <c r="A15" s="53" t="s">
        <v>13</v>
      </c>
      <c r="B15" s="58">
        <f t="shared" si="0"/>
        <v>-0.16455696202531644</v>
      </c>
      <c r="C15" s="141">
        <f>E15-'[1]Germany'!E15</f>
        <v>-1941</v>
      </c>
      <c r="D15" s="81">
        <f>F15-'[1]Germany'!F15</f>
        <v>-1560</v>
      </c>
      <c r="E15" s="159">
        <v>3102</v>
      </c>
      <c r="F15" s="81">
        <v>3713</v>
      </c>
      <c r="G15" s="81">
        <v>4455</v>
      </c>
      <c r="H15" s="81">
        <v>2521</v>
      </c>
      <c r="I15" s="81">
        <v>7170</v>
      </c>
      <c r="J15" s="81">
        <v>8912</v>
      </c>
      <c r="K15" s="81">
        <v>8788</v>
      </c>
      <c r="L15" s="81">
        <v>5968</v>
      </c>
      <c r="M15" s="81">
        <v>5992</v>
      </c>
      <c r="N15" s="81">
        <v>4526</v>
      </c>
      <c r="O15" s="81">
        <v>3452</v>
      </c>
      <c r="P15" s="81">
        <v>4262</v>
      </c>
      <c r="Q15" s="81">
        <v>3464</v>
      </c>
      <c r="R15" s="51">
        <v>1207</v>
      </c>
      <c r="S15" s="75">
        <v>2077</v>
      </c>
    </row>
    <row r="16" spans="1:19" ht="12.75">
      <c r="A16" s="53" t="s">
        <v>133</v>
      </c>
      <c r="B16" s="58">
        <f t="shared" si="0"/>
        <v>0.17935727120091902</v>
      </c>
      <c r="C16" s="141">
        <f>E16-'[1]Germany'!E16</f>
        <v>-6123</v>
      </c>
      <c r="D16" s="81">
        <f>F16-'[1]Germany'!F16</f>
        <v>-9308</v>
      </c>
      <c r="E16" s="159">
        <v>40038</v>
      </c>
      <c r="F16" s="81">
        <v>33949</v>
      </c>
      <c r="G16" s="81">
        <v>50299</v>
      </c>
      <c r="H16" s="81">
        <v>28232</v>
      </c>
      <c r="I16" s="81">
        <v>44254</v>
      </c>
      <c r="J16" s="81">
        <v>28200</v>
      </c>
      <c r="K16" s="81">
        <v>24718</v>
      </c>
      <c r="L16" s="81">
        <v>12045</v>
      </c>
      <c r="M16" s="81">
        <v>16692</v>
      </c>
      <c r="N16" s="81">
        <v>12671</v>
      </c>
      <c r="O16" s="81">
        <v>7452</v>
      </c>
      <c r="P16" s="81">
        <v>10952</v>
      </c>
      <c r="Q16" s="81">
        <v>7842</v>
      </c>
      <c r="R16" s="51">
        <v>6815</v>
      </c>
      <c r="S16" s="75">
        <v>1779</v>
      </c>
    </row>
    <row r="17" spans="1:21" s="16" customFormat="1" ht="12.75">
      <c r="A17" s="53" t="s">
        <v>89</v>
      </c>
      <c r="B17" s="58">
        <f t="shared" si="0"/>
        <v>2.38</v>
      </c>
      <c r="C17" s="141">
        <f>E17-'[1]Germany'!E17</f>
        <v>-109</v>
      </c>
      <c r="D17" s="81">
        <f>F17-'[1]Germany'!F17</f>
        <v>-23</v>
      </c>
      <c r="E17" s="159">
        <v>169</v>
      </c>
      <c r="F17" s="81">
        <v>50</v>
      </c>
      <c r="G17" s="81">
        <v>56</v>
      </c>
      <c r="H17" s="81">
        <v>7</v>
      </c>
      <c r="I17" s="81">
        <v>356</v>
      </c>
      <c r="J17" s="81">
        <v>697</v>
      </c>
      <c r="K17" s="81">
        <v>269</v>
      </c>
      <c r="L17" s="81">
        <v>18</v>
      </c>
      <c r="M17" s="81">
        <v>935</v>
      </c>
      <c r="N17" s="81">
        <v>854</v>
      </c>
      <c r="O17" s="81">
        <v>130</v>
      </c>
      <c r="P17" s="81">
        <v>34</v>
      </c>
      <c r="Q17" s="81">
        <v>90</v>
      </c>
      <c r="R17" s="51">
        <v>45</v>
      </c>
      <c r="S17" s="75">
        <v>16</v>
      </c>
      <c r="U17"/>
    </row>
    <row r="18" spans="1:19" ht="12.75">
      <c r="A18" s="53" t="s">
        <v>96</v>
      </c>
      <c r="B18" s="58">
        <f t="shared" si="0"/>
        <v>1.2083333333333333</v>
      </c>
      <c r="C18" s="141">
        <f>E18-'[1]Germany'!E18</f>
        <v>-715</v>
      </c>
      <c r="D18" s="81">
        <f>F18-'[1]Germany'!F18</f>
        <v>-455</v>
      </c>
      <c r="E18" s="159">
        <v>583</v>
      </c>
      <c r="F18" s="81">
        <v>264</v>
      </c>
      <c r="G18" s="81">
        <v>1210</v>
      </c>
      <c r="H18" s="81">
        <v>68</v>
      </c>
      <c r="I18" s="81">
        <v>238</v>
      </c>
      <c r="J18" s="81">
        <v>432</v>
      </c>
      <c r="K18" s="81">
        <v>269</v>
      </c>
      <c r="L18" s="81">
        <v>539</v>
      </c>
      <c r="M18" s="81">
        <v>384</v>
      </c>
      <c r="N18" s="81">
        <v>550</v>
      </c>
      <c r="O18" s="81">
        <v>1003</v>
      </c>
      <c r="P18" s="81">
        <v>946</v>
      </c>
      <c r="Q18" s="81">
        <v>951</v>
      </c>
      <c r="R18" s="51">
        <v>382</v>
      </c>
      <c r="S18" s="75">
        <v>777</v>
      </c>
    </row>
    <row r="19" spans="1:19" ht="12.75">
      <c r="A19" s="53" t="s">
        <v>142</v>
      </c>
      <c r="B19" s="58">
        <f t="shared" si="0"/>
        <v>0.3853450148432409</v>
      </c>
      <c r="C19" s="141">
        <f>E19-'[1]Germany'!E19</f>
        <v>-9615</v>
      </c>
      <c r="D19" s="81">
        <f>F19-'[1]Germany'!F19</f>
        <v>-515</v>
      </c>
      <c r="E19" s="159">
        <v>19133</v>
      </c>
      <c r="F19" s="81">
        <v>13811</v>
      </c>
      <c r="G19" s="81">
        <v>21926</v>
      </c>
      <c r="H19" s="81">
        <v>5435</v>
      </c>
      <c r="I19" s="81">
        <v>12376</v>
      </c>
      <c r="J19" s="81">
        <v>12240</v>
      </c>
      <c r="K19" s="81">
        <v>12692</v>
      </c>
      <c r="L19" s="81">
        <v>8112</v>
      </c>
      <c r="M19" s="81">
        <v>5969</v>
      </c>
      <c r="N19" s="81">
        <v>4445</v>
      </c>
      <c r="O19" s="81">
        <v>2591</v>
      </c>
      <c r="P19" s="81">
        <v>3153</v>
      </c>
      <c r="Q19" s="81">
        <v>1188</v>
      </c>
      <c r="R19" s="51">
        <v>1390</v>
      </c>
      <c r="S19" s="75">
        <v>302</v>
      </c>
    </row>
    <row r="20" spans="1:19" ht="13.5" thickBot="1">
      <c r="A20" s="53" t="s">
        <v>6</v>
      </c>
      <c r="B20" s="58">
        <f t="shared" si="0"/>
        <v>-0.5346695557963164</v>
      </c>
      <c r="C20" s="141">
        <f>E20-'[1]Germany'!E20</f>
        <v>-1055</v>
      </c>
      <c r="D20" s="81">
        <f>F20-'[1]Germany'!F20</f>
        <v>-693</v>
      </c>
      <c r="E20" s="159">
        <v>859</v>
      </c>
      <c r="F20" s="81">
        <v>1846</v>
      </c>
      <c r="G20" s="81">
        <v>2061</v>
      </c>
      <c r="H20" s="81">
        <v>254</v>
      </c>
      <c r="I20" s="81">
        <v>1847</v>
      </c>
      <c r="J20" s="81">
        <v>1792</v>
      </c>
      <c r="K20" s="81">
        <v>3084</v>
      </c>
      <c r="L20" s="81">
        <v>2808</v>
      </c>
      <c r="M20" s="81">
        <v>3300</v>
      </c>
      <c r="N20" s="81">
        <v>2524</v>
      </c>
      <c r="O20" s="81">
        <v>1893</v>
      </c>
      <c r="P20" s="81">
        <v>2606</v>
      </c>
      <c r="Q20" s="81">
        <v>2548</v>
      </c>
      <c r="R20" s="51">
        <v>1852</v>
      </c>
      <c r="S20" s="75">
        <v>2014</v>
      </c>
    </row>
    <row r="21" spans="1:19" ht="13.5" thickBot="1">
      <c r="A21" s="52" t="s">
        <v>92</v>
      </c>
      <c r="B21" s="168">
        <f t="shared" si="0"/>
        <v>0.15003212150163903</v>
      </c>
      <c r="C21" s="167">
        <f>E21-'[1]Germany'!E21</f>
        <v>-57487</v>
      </c>
      <c r="D21" s="103">
        <f>F21-'[1]Germany'!F21</f>
        <v>-50629</v>
      </c>
      <c r="E21" s="160">
        <f>SUM(E2:E20)</f>
        <v>139630</v>
      </c>
      <c r="F21" s="103">
        <f>SUM(F2:F20)</f>
        <v>121414</v>
      </c>
      <c r="G21" s="103">
        <f>SUM(G2:G20)</f>
        <v>188961</v>
      </c>
      <c r="H21" s="103">
        <f aca="true" t="shared" si="1" ref="H21:M21">SUM(H2:H20)</f>
        <v>74908</v>
      </c>
      <c r="I21" s="103">
        <f t="shared" si="1"/>
        <v>178868</v>
      </c>
      <c r="J21" s="103">
        <f t="shared" si="1"/>
        <v>166316</v>
      </c>
      <c r="K21" s="103">
        <f t="shared" si="1"/>
        <v>176047</v>
      </c>
      <c r="L21" s="103">
        <f t="shared" si="1"/>
        <v>132550</v>
      </c>
      <c r="M21" s="103">
        <f t="shared" si="1"/>
        <v>153150</v>
      </c>
      <c r="N21" s="103">
        <f aca="true" t="shared" si="2" ref="N21:S21">SUM(N2:N20)</f>
        <v>157895</v>
      </c>
      <c r="O21" s="103">
        <f t="shared" si="2"/>
        <v>114708</v>
      </c>
      <c r="P21" s="103">
        <f t="shared" si="2"/>
        <v>157794</v>
      </c>
      <c r="Q21" s="103">
        <f t="shared" si="2"/>
        <v>137522</v>
      </c>
      <c r="R21" s="57">
        <f t="shared" si="2"/>
        <v>113628</v>
      </c>
      <c r="S21" s="148">
        <f t="shared" si="2"/>
        <v>121361</v>
      </c>
    </row>
    <row r="22" spans="7:9" ht="12.75">
      <c r="G22" s="9"/>
      <c r="I22" s="9"/>
    </row>
    <row r="23" spans="2:19" ht="13.5" thickBot="1">
      <c r="B23" s="3"/>
      <c r="C23" s="3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3"/>
      <c r="S23" s="3"/>
    </row>
    <row r="24" spans="1:19" s="63" customFormat="1" ht="13.5" thickBot="1">
      <c r="A24" s="62" t="s">
        <v>25</v>
      </c>
      <c r="B24" s="32" t="s">
        <v>178</v>
      </c>
      <c r="C24" s="162" t="s">
        <v>177</v>
      </c>
      <c r="D24" s="93" t="s">
        <v>171</v>
      </c>
      <c r="E24" s="165">
        <v>44287</v>
      </c>
      <c r="F24" s="132">
        <v>43922</v>
      </c>
      <c r="G24" s="132">
        <v>43556</v>
      </c>
      <c r="H24" s="132">
        <v>43191</v>
      </c>
      <c r="I24" s="33">
        <v>42826</v>
      </c>
      <c r="J24" s="33">
        <v>42461</v>
      </c>
      <c r="K24" s="33">
        <v>42125</v>
      </c>
      <c r="L24" s="33">
        <v>41730</v>
      </c>
      <c r="M24" s="33">
        <v>41365</v>
      </c>
      <c r="N24" s="33">
        <v>41000</v>
      </c>
      <c r="O24" s="33">
        <v>40634</v>
      </c>
      <c r="P24" s="33">
        <v>40269</v>
      </c>
      <c r="Q24" s="33">
        <v>39904</v>
      </c>
      <c r="R24" s="33">
        <v>39539</v>
      </c>
      <c r="S24" s="34">
        <v>39173</v>
      </c>
    </row>
    <row r="25" spans="1:19" s="61" customFormat="1" ht="13.5" thickBot="1">
      <c r="A25" s="67" t="s">
        <v>6</v>
      </c>
      <c r="B25" s="107">
        <f>(E25-F25)/F25</f>
        <v>0.5532994923857868</v>
      </c>
      <c r="C25" s="143">
        <f>E25-'[1]Germany'!E25</f>
        <v>-942</v>
      </c>
      <c r="D25" s="87">
        <f>F25-'[1]Germany'!F25</f>
        <v>-746</v>
      </c>
      <c r="E25" s="69">
        <v>612</v>
      </c>
      <c r="F25" s="87">
        <v>394</v>
      </c>
      <c r="G25" s="87">
        <v>821</v>
      </c>
      <c r="H25" s="87">
        <v>393</v>
      </c>
      <c r="I25" s="87">
        <v>53</v>
      </c>
      <c r="J25" s="87">
        <v>119</v>
      </c>
      <c r="K25" s="87">
        <v>585</v>
      </c>
      <c r="L25" s="87">
        <v>360</v>
      </c>
      <c r="M25" s="87">
        <v>66</v>
      </c>
      <c r="N25" s="87">
        <v>361</v>
      </c>
      <c r="O25" s="87">
        <v>9</v>
      </c>
      <c r="P25" s="87">
        <v>147</v>
      </c>
      <c r="Q25" s="87">
        <v>111</v>
      </c>
      <c r="R25" s="70">
        <v>184</v>
      </c>
      <c r="S25" s="77">
        <v>84</v>
      </c>
    </row>
    <row r="26" spans="1:19" s="61" customFormat="1" ht="13.5" thickBot="1">
      <c r="A26" s="71" t="s">
        <v>92</v>
      </c>
      <c r="B26" s="72">
        <f>(E26-F26)/F26</f>
        <v>0.5532994923857868</v>
      </c>
      <c r="C26" s="167">
        <f>E26-'[1]Germany'!E26</f>
        <v>-942</v>
      </c>
      <c r="D26" s="99">
        <f>F26-'[1]Germany'!F26</f>
        <v>-746</v>
      </c>
      <c r="E26" s="73">
        <v>612</v>
      </c>
      <c r="F26" s="99">
        <f>SUM(F25)</f>
        <v>394</v>
      </c>
      <c r="G26" s="99">
        <v>821</v>
      </c>
      <c r="H26" s="99">
        <v>393</v>
      </c>
      <c r="I26" s="99">
        <f>SUM(I25)</f>
        <v>53</v>
      </c>
      <c r="J26" s="99">
        <f>SUM(J25)</f>
        <v>119</v>
      </c>
      <c r="K26" s="99">
        <f>SUM(K25)</f>
        <v>585</v>
      </c>
      <c r="L26" s="99">
        <f>SUM(L25)</f>
        <v>360</v>
      </c>
      <c r="M26" s="99">
        <f>SUM(M25)</f>
        <v>66</v>
      </c>
      <c r="N26" s="99">
        <f aca="true" t="shared" si="3" ref="N26:S26">SUM(N25)</f>
        <v>361</v>
      </c>
      <c r="O26" s="99">
        <f t="shared" si="3"/>
        <v>9</v>
      </c>
      <c r="P26" s="99">
        <f t="shared" si="3"/>
        <v>147</v>
      </c>
      <c r="Q26" s="99">
        <f t="shared" si="3"/>
        <v>111</v>
      </c>
      <c r="R26" s="74">
        <f t="shared" si="3"/>
        <v>184</v>
      </c>
      <c r="S26" s="78">
        <f t="shared" si="3"/>
        <v>84</v>
      </c>
    </row>
    <row r="27" spans="4:17" s="61" customFormat="1" ht="12.75">
      <c r="D27" s="105"/>
      <c r="E27" s="105"/>
      <c r="F27" s="105"/>
      <c r="H27" s="105"/>
      <c r="J27" s="105"/>
      <c r="K27" s="105"/>
      <c r="L27" s="105"/>
      <c r="M27" s="105"/>
      <c r="N27" s="105"/>
      <c r="O27" s="105"/>
      <c r="P27" s="105"/>
      <c r="Q27" s="105"/>
    </row>
    <row r="28" spans="1:17" s="61" customFormat="1" ht="12.75">
      <c r="A28" s="63"/>
      <c r="D28" s="105"/>
      <c r="E28" s="105"/>
      <c r="F28" s="105"/>
      <c r="H28" s="105"/>
      <c r="J28" s="105"/>
      <c r="K28" s="105"/>
      <c r="L28" s="105"/>
      <c r="M28" s="105"/>
      <c r="N28" s="105"/>
      <c r="O28" s="105"/>
      <c r="P28" s="105"/>
      <c r="Q28" s="105"/>
    </row>
    <row r="29" spans="4:17" s="61" customFormat="1" ht="12.75">
      <c r="D29" s="105"/>
      <c r="E29" s="105"/>
      <c r="F29" s="105"/>
      <c r="H29" s="105"/>
      <c r="J29" s="105"/>
      <c r="K29" s="105"/>
      <c r="L29" s="105"/>
      <c r="M29" s="105"/>
      <c r="N29" s="105"/>
      <c r="O29" s="105"/>
      <c r="P29" s="105"/>
      <c r="Q29" s="105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7"/>
  <sheetViews>
    <sheetView zoomScale="106" zoomScaleNormal="106" zoomScalePageLayoutView="0" workbookViewId="0" topLeftCell="A1">
      <selection activeCell="B33" sqref="B33"/>
    </sheetView>
  </sheetViews>
  <sheetFormatPr defaultColWidth="8.8515625" defaultRowHeight="12.75"/>
  <cols>
    <col min="1" max="1" width="29.140625" style="0" customWidth="1"/>
    <col min="2" max="2" width="10.8515625" style="0" customWidth="1"/>
    <col min="3" max="3" width="11.7109375" style="0" bestFit="1" customWidth="1"/>
    <col min="4" max="4" width="11.7109375" style="9" bestFit="1" customWidth="1"/>
    <col min="5" max="7" width="11.7109375" style="9" customWidth="1"/>
    <col min="8" max="8" width="11.28125" style="9" customWidth="1"/>
    <col min="9" max="9" width="10.8515625" style="0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32" t="s">
        <v>178</v>
      </c>
      <c r="C1" s="162" t="s">
        <v>177</v>
      </c>
      <c r="D1" s="93" t="s">
        <v>171</v>
      </c>
      <c r="E1" s="165">
        <v>44287</v>
      </c>
      <c r="F1" s="132">
        <v>43922</v>
      </c>
      <c r="G1" s="132">
        <v>43556</v>
      </c>
      <c r="H1" s="132">
        <v>43191</v>
      </c>
      <c r="I1" s="33">
        <v>42826</v>
      </c>
      <c r="J1" s="33">
        <v>42461</v>
      </c>
      <c r="K1" s="33">
        <v>42095</v>
      </c>
      <c r="L1" s="33">
        <v>41730</v>
      </c>
      <c r="M1" s="33">
        <v>41365</v>
      </c>
      <c r="N1" s="33">
        <v>41000</v>
      </c>
      <c r="O1" s="33">
        <v>40634</v>
      </c>
      <c r="P1" s="33">
        <v>40269</v>
      </c>
      <c r="Q1" s="33">
        <v>39904</v>
      </c>
      <c r="R1" s="33">
        <v>39539</v>
      </c>
      <c r="S1" s="34">
        <v>39173</v>
      </c>
    </row>
    <row r="2" spans="1:19" ht="12.75">
      <c r="A2" s="27" t="s">
        <v>20</v>
      </c>
      <c r="B2" s="35"/>
      <c r="C2" s="140">
        <f>E2-'[1]Italy'!E2</f>
        <v>0</v>
      </c>
      <c r="D2" s="13">
        <f>F2-'[1]Italy'!F2</f>
        <v>0</v>
      </c>
      <c r="E2" s="122"/>
      <c r="F2" s="13"/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/>
      <c r="M2" s="13"/>
      <c r="N2" s="13">
        <v>761.6917738204121</v>
      </c>
      <c r="O2" s="13">
        <v>0</v>
      </c>
      <c r="P2" s="13">
        <v>0</v>
      </c>
      <c r="Q2" s="13">
        <v>0</v>
      </c>
      <c r="R2" s="13">
        <v>0</v>
      </c>
      <c r="S2" s="37">
        <v>0</v>
      </c>
    </row>
    <row r="3" spans="1:19" ht="12.75">
      <c r="A3" s="27" t="s">
        <v>11</v>
      </c>
      <c r="B3" s="35">
        <f>(E3-F3)/F3</f>
        <v>-0.14605996786088338</v>
      </c>
      <c r="C3" s="140">
        <f>E3-'[1]Italy'!E3</f>
        <v>-4664.299999999999</v>
      </c>
      <c r="D3" s="13">
        <f>F3-'[1]Italy'!F3</f>
        <v>-6078.619999999999</v>
      </c>
      <c r="E3" s="122">
        <v>23987.5</v>
      </c>
      <c r="F3" s="13">
        <v>28090.38</v>
      </c>
      <c r="G3" s="13">
        <v>37677.7</v>
      </c>
      <c r="H3" s="13">
        <v>18656</v>
      </c>
      <c r="I3" s="13">
        <v>34255.1</v>
      </c>
      <c r="J3" s="13">
        <v>30762.1</v>
      </c>
      <c r="K3" s="13">
        <v>30965</v>
      </c>
      <c r="L3" s="13">
        <v>34303</v>
      </c>
      <c r="M3" s="13">
        <v>25751</v>
      </c>
      <c r="N3" s="13">
        <v>36955.07996852639</v>
      </c>
      <c r="O3" s="13">
        <v>35386.91549033856</v>
      </c>
      <c r="P3" s="13">
        <v>36715.03</v>
      </c>
      <c r="Q3" s="13">
        <v>29265.77</v>
      </c>
      <c r="R3" s="13">
        <v>26328</v>
      </c>
      <c r="S3" s="37">
        <v>20858</v>
      </c>
    </row>
    <row r="4" spans="1:19" ht="12.75">
      <c r="A4" s="53" t="s">
        <v>61</v>
      </c>
      <c r="B4" s="35">
        <f aca="true" t="shared" si="0" ref="B4:B20">(E4-F4)/F4</f>
        <v>0.4764614223348326</v>
      </c>
      <c r="C4" s="140">
        <f>E4-'[1]Italy'!E4</f>
        <v>-18654.600000000006</v>
      </c>
      <c r="D4" s="13">
        <f>F4-'[1]Italy'!F4</f>
        <v>-15253.7</v>
      </c>
      <c r="E4" s="122">
        <v>33448.2</v>
      </c>
      <c r="F4" s="13">
        <v>22654.3</v>
      </c>
      <c r="G4" s="13">
        <v>30183.2</v>
      </c>
      <c r="H4" s="13">
        <v>19609</v>
      </c>
      <c r="I4" s="13">
        <v>31233.9</v>
      </c>
      <c r="J4" s="13">
        <v>23110.300000000003</v>
      </c>
      <c r="K4" s="13">
        <v>42691</v>
      </c>
      <c r="L4" s="13">
        <v>16692</v>
      </c>
      <c r="M4" s="13">
        <v>8234</v>
      </c>
      <c r="N4" s="13">
        <v>26093.956609458222</v>
      </c>
      <c r="O4" s="13">
        <v>10925.109201359593</v>
      </c>
      <c r="P4" s="13"/>
      <c r="Q4" s="13"/>
      <c r="R4" s="13"/>
      <c r="S4" s="37"/>
    </row>
    <row r="5" spans="1:19" ht="12.75">
      <c r="A5" s="27" t="s">
        <v>2</v>
      </c>
      <c r="B5" s="35"/>
      <c r="C5" s="140">
        <f>E5-'[1]Italy'!E5</f>
        <v>0</v>
      </c>
      <c r="D5" s="13">
        <f>F5-'[1]Italy'!F5</f>
        <v>0</v>
      </c>
      <c r="E5" s="122"/>
      <c r="F5" s="13"/>
      <c r="G5" s="13">
        <v>0</v>
      </c>
      <c r="H5" s="13">
        <v>0</v>
      </c>
      <c r="I5" s="13">
        <v>0</v>
      </c>
      <c r="J5" s="13">
        <v>2</v>
      </c>
      <c r="K5" s="13">
        <v>0</v>
      </c>
      <c r="L5" s="13">
        <v>2</v>
      </c>
      <c r="M5" s="13"/>
      <c r="N5" s="13">
        <v>0</v>
      </c>
      <c r="O5" s="13">
        <v>0</v>
      </c>
      <c r="P5" s="13">
        <v>31.8</v>
      </c>
      <c r="Q5" s="13">
        <v>0</v>
      </c>
      <c r="R5" s="13">
        <v>9</v>
      </c>
      <c r="S5" s="37"/>
    </row>
    <row r="6" spans="1:19" ht="12.75">
      <c r="A6" s="27" t="s">
        <v>12</v>
      </c>
      <c r="B6" s="35">
        <f t="shared" si="0"/>
        <v>0.23504315401227435</v>
      </c>
      <c r="C6" s="140">
        <f>E6-'[1]Italy'!E6</f>
        <v>-20455</v>
      </c>
      <c r="D6" s="13">
        <f>F6-'[1]Italy'!F6</f>
        <v>-20042.047880390455</v>
      </c>
      <c r="E6" s="122">
        <v>48342</v>
      </c>
      <c r="F6" s="13">
        <v>39141.952119609545</v>
      </c>
      <c r="G6" s="13">
        <v>57310.6</v>
      </c>
      <c r="H6" s="13">
        <v>35418</v>
      </c>
      <c r="I6" s="13">
        <v>41091.009999999995</v>
      </c>
      <c r="J6" s="13">
        <v>63315.34300000001</v>
      </c>
      <c r="K6" s="13">
        <v>50893</v>
      </c>
      <c r="L6" s="13">
        <v>57789</v>
      </c>
      <c r="M6" s="13">
        <v>28000</v>
      </c>
      <c r="N6" s="13">
        <v>40519.997915209555</v>
      </c>
      <c r="O6" s="13">
        <v>51166.84813744701</v>
      </c>
      <c r="P6" s="13">
        <v>37282.98</v>
      </c>
      <c r="Q6" s="13">
        <v>34837.64</v>
      </c>
      <c r="R6" s="13">
        <v>35448.2</v>
      </c>
      <c r="S6" s="37">
        <v>23704</v>
      </c>
    </row>
    <row r="7" spans="1:19" ht="12.75">
      <c r="A7" s="27" t="s">
        <v>9</v>
      </c>
      <c r="B7" s="35">
        <f t="shared" si="0"/>
        <v>-0.1229721169104934</v>
      </c>
      <c r="C7" s="140">
        <f>E7-'[1]Italy'!E7</f>
        <v>-28558.109999999993</v>
      </c>
      <c r="D7" s="13">
        <f>F7-'[1]Italy'!F7</f>
        <v>-31176.896847650816</v>
      </c>
      <c r="E7" s="122">
        <v>13919.4</v>
      </c>
      <c r="F7" s="13">
        <v>15871.103152349184</v>
      </c>
      <c r="G7" s="13">
        <v>11299.8</v>
      </c>
      <c r="H7" s="13">
        <v>524</v>
      </c>
      <c r="I7" s="13">
        <v>10541.91</v>
      </c>
      <c r="J7" s="13">
        <v>1456.6</v>
      </c>
      <c r="K7" s="13">
        <v>11691</v>
      </c>
      <c r="L7" s="13">
        <v>7492</v>
      </c>
      <c r="M7" s="13">
        <v>1703</v>
      </c>
      <c r="N7" s="13">
        <v>3639.0826720288374</v>
      </c>
      <c r="O7" s="13">
        <v>5818.360867274374</v>
      </c>
      <c r="P7" s="13">
        <v>3036.05</v>
      </c>
      <c r="Q7" s="13">
        <v>3855.24</v>
      </c>
      <c r="R7" s="13">
        <v>1352</v>
      </c>
      <c r="S7" s="37">
        <v>532</v>
      </c>
    </row>
    <row r="8" spans="1:19" ht="12.75">
      <c r="A8" s="27" t="s">
        <v>14</v>
      </c>
      <c r="B8" s="35"/>
      <c r="C8" s="140">
        <f>E8-'[1]Italy'!E8</f>
        <v>0</v>
      </c>
      <c r="D8" s="13">
        <f>F8-'[1]Italy'!F8</f>
        <v>0</v>
      </c>
      <c r="E8" s="122"/>
      <c r="F8" s="13"/>
      <c r="G8" s="13">
        <v>5</v>
      </c>
      <c r="H8" s="13">
        <v>0</v>
      </c>
      <c r="I8" s="13">
        <v>0</v>
      </c>
      <c r="J8" s="13">
        <v>4</v>
      </c>
      <c r="K8" s="13">
        <v>16</v>
      </c>
      <c r="L8" s="13">
        <v>14</v>
      </c>
      <c r="M8" s="13"/>
      <c r="N8" s="13">
        <v>34.07568461828159</v>
      </c>
      <c r="O8" s="13">
        <v>0</v>
      </c>
      <c r="P8" s="13">
        <v>104.97</v>
      </c>
      <c r="Q8" s="13">
        <v>125.11</v>
      </c>
      <c r="R8" s="13">
        <v>120</v>
      </c>
      <c r="S8" s="37">
        <v>281</v>
      </c>
    </row>
    <row r="9" spans="1:19" ht="12.75">
      <c r="A9" s="29" t="s">
        <v>3</v>
      </c>
      <c r="B9" s="35">
        <f t="shared" si="0"/>
        <v>-0.10604824212777955</v>
      </c>
      <c r="C9" s="140">
        <f>E9-'[1]Italy'!E9</f>
        <v>-74626.5</v>
      </c>
      <c r="D9" s="13">
        <f>F9-'[1]Italy'!F9</f>
        <v>-82138.76857978845</v>
      </c>
      <c r="E9" s="122">
        <v>280828</v>
      </c>
      <c r="F9" s="13">
        <v>314142.23142021155</v>
      </c>
      <c r="G9" s="13">
        <v>368926.1</v>
      </c>
      <c r="H9" s="13">
        <v>152696</v>
      </c>
      <c r="I9" s="94">
        <v>391916.57</v>
      </c>
      <c r="J9" s="94">
        <v>389812.28900000005</v>
      </c>
      <c r="K9" s="94">
        <v>402370</v>
      </c>
      <c r="L9" s="94">
        <v>338816</v>
      </c>
      <c r="M9" s="94">
        <v>318541</v>
      </c>
      <c r="N9" s="94">
        <v>372315.9412694356</v>
      </c>
      <c r="O9" s="94">
        <v>358127.7895695655</v>
      </c>
      <c r="P9" s="94">
        <v>361636.99</v>
      </c>
      <c r="Q9" s="94">
        <v>407816.56</v>
      </c>
      <c r="R9" s="13">
        <v>326106.8</v>
      </c>
      <c r="S9" s="37">
        <v>321678</v>
      </c>
    </row>
    <row r="10" spans="1:19" ht="12.75">
      <c r="A10" s="29" t="s">
        <v>17</v>
      </c>
      <c r="B10" s="35">
        <f t="shared" si="0"/>
        <v>0.8342644797738662</v>
      </c>
      <c r="C10" s="140">
        <f>E10-'[1]Italy'!E10</f>
        <v>-18128.65</v>
      </c>
      <c r="D10" s="13">
        <f>F10-'[1]Italy'!F10</f>
        <v>-13318.46345718854</v>
      </c>
      <c r="E10" s="122">
        <v>50461.6</v>
      </c>
      <c r="F10" s="13">
        <v>27510.53654281146</v>
      </c>
      <c r="G10" s="13">
        <v>42076.700000000004</v>
      </c>
      <c r="H10" s="13">
        <v>41022</v>
      </c>
      <c r="I10" s="94">
        <v>37277.525</v>
      </c>
      <c r="J10" s="94">
        <v>49195.53</v>
      </c>
      <c r="K10" s="94">
        <v>44624</v>
      </c>
      <c r="L10" s="94">
        <v>38772</v>
      </c>
      <c r="M10" s="94">
        <v>18246</v>
      </c>
      <c r="N10" s="94">
        <v>29326.135518104053</v>
      </c>
      <c r="O10" s="94">
        <v>26576.570192264644</v>
      </c>
      <c r="P10" s="94">
        <v>20353.16</v>
      </c>
      <c r="Q10" s="94">
        <v>22961.12</v>
      </c>
      <c r="R10" s="13">
        <v>11700</v>
      </c>
      <c r="S10" s="37">
        <v>13647</v>
      </c>
    </row>
    <row r="11" spans="1:19" ht="12.75">
      <c r="A11" s="29" t="s">
        <v>10</v>
      </c>
      <c r="B11" s="35"/>
      <c r="C11" s="140">
        <f>E11-'[1]Italy'!E11</f>
        <v>0</v>
      </c>
      <c r="D11" s="13">
        <f>F11-'[1]Italy'!F11</f>
        <v>0</v>
      </c>
      <c r="E11" s="122"/>
      <c r="F11" s="13"/>
      <c r="G11" s="13">
        <v>40</v>
      </c>
      <c r="H11" s="13">
        <v>584</v>
      </c>
      <c r="I11" s="94">
        <v>566</v>
      </c>
      <c r="J11" s="94">
        <v>1170</v>
      </c>
      <c r="K11" s="94">
        <v>610</v>
      </c>
      <c r="L11" s="94">
        <v>2062</v>
      </c>
      <c r="M11" s="94">
        <v>1968</v>
      </c>
      <c r="N11" s="94">
        <v>2010.4653924786141</v>
      </c>
      <c r="O11" s="94">
        <v>528.941897024943</v>
      </c>
      <c r="P11" s="94">
        <v>2814.24</v>
      </c>
      <c r="Q11" s="94">
        <v>3196.52</v>
      </c>
      <c r="R11" s="13">
        <v>2834.8</v>
      </c>
      <c r="S11" s="37">
        <v>3174</v>
      </c>
    </row>
    <row r="12" spans="1:19" ht="12.75">
      <c r="A12" s="29" t="s">
        <v>27</v>
      </c>
      <c r="B12" s="35">
        <f t="shared" si="0"/>
        <v>-0.5124587211047733</v>
      </c>
      <c r="C12" s="140">
        <f>E12-'[1]Italy'!E12</f>
        <v>-68.20000000000005</v>
      </c>
      <c r="D12" s="13">
        <f>F12-'[1]Italy'!F12</f>
        <v>-133.80000000000018</v>
      </c>
      <c r="E12" s="122">
        <v>1948.8</v>
      </c>
      <c r="F12" s="13">
        <v>3997.2</v>
      </c>
      <c r="G12" s="13">
        <v>4321.6</v>
      </c>
      <c r="H12" s="13">
        <v>3000</v>
      </c>
      <c r="I12" s="94">
        <v>3915.3</v>
      </c>
      <c r="J12" s="94">
        <v>7313.9</v>
      </c>
      <c r="K12" s="94">
        <v>6991</v>
      </c>
      <c r="L12" s="94">
        <v>9545</v>
      </c>
      <c r="M12" s="94">
        <v>6035</v>
      </c>
      <c r="N12" s="94">
        <v>9578.274055791682</v>
      </c>
      <c r="O12" s="94">
        <v>1170.2964932278628</v>
      </c>
      <c r="P12" s="94">
        <v>13220.48</v>
      </c>
      <c r="Q12" s="94">
        <v>13752.68</v>
      </c>
      <c r="R12" s="13">
        <v>13549.2</v>
      </c>
      <c r="S12" s="37">
        <v>11577</v>
      </c>
    </row>
    <row r="13" spans="1:19" ht="12.75">
      <c r="A13" s="29" t="s">
        <v>50</v>
      </c>
      <c r="B13" s="35"/>
      <c r="C13" s="140">
        <f>E13-'[1]Italy'!E13</f>
        <v>0</v>
      </c>
      <c r="D13" s="13">
        <f>F13-'[1]Italy'!F13</f>
        <v>0</v>
      </c>
      <c r="E13" s="122"/>
      <c r="F13" s="13"/>
      <c r="G13" s="13">
        <v>0</v>
      </c>
      <c r="H13" s="13">
        <v>0</v>
      </c>
      <c r="I13" s="94">
        <v>0</v>
      </c>
      <c r="J13" s="94">
        <v>0</v>
      </c>
      <c r="K13" s="94">
        <v>6</v>
      </c>
      <c r="L13" s="94"/>
      <c r="M13" s="94"/>
      <c r="N13" s="94">
        <v>2.0044520363695058</v>
      </c>
      <c r="O13" s="94">
        <v>0</v>
      </c>
      <c r="P13" s="94">
        <v>2</v>
      </c>
      <c r="Q13" s="94">
        <v>3</v>
      </c>
      <c r="R13" s="13">
        <v>0</v>
      </c>
      <c r="S13" s="37">
        <v>13</v>
      </c>
    </row>
    <row r="14" spans="1:19" ht="12.75">
      <c r="A14" s="29" t="s">
        <v>105</v>
      </c>
      <c r="B14" s="35">
        <f t="shared" si="0"/>
        <v>0.5453349158910512</v>
      </c>
      <c r="C14" s="140">
        <f>E14-'[1]Italy'!E14</f>
        <v>-2867.1000000000004</v>
      </c>
      <c r="D14" s="13">
        <f>F14-'[1]Italy'!F14</f>
        <v>-2674.4039371762137</v>
      </c>
      <c r="E14" s="122">
        <v>8024.299999999999</v>
      </c>
      <c r="F14" s="13">
        <v>5192.596062823786</v>
      </c>
      <c r="G14" s="13">
        <v>7615.2</v>
      </c>
      <c r="H14" s="13">
        <v>2624</v>
      </c>
      <c r="I14" s="94">
        <v>8335.43</v>
      </c>
      <c r="J14" s="94">
        <v>10162.19</v>
      </c>
      <c r="K14" s="94">
        <v>14809</v>
      </c>
      <c r="L14" s="94">
        <v>10837</v>
      </c>
      <c r="M14" s="94">
        <v>11344</v>
      </c>
      <c r="N14" s="94">
        <v>6429.279906655189</v>
      </c>
      <c r="O14" s="94">
        <v>14051.587397247065</v>
      </c>
      <c r="P14" s="94">
        <v>8328.04</v>
      </c>
      <c r="Q14" s="94">
        <v>23702.27</v>
      </c>
      <c r="R14" s="13">
        <v>12902</v>
      </c>
      <c r="S14" s="37">
        <v>18613</v>
      </c>
    </row>
    <row r="15" spans="1:19" ht="12.75">
      <c r="A15" s="29" t="s">
        <v>13</v>
      </c>
      <c r="B15" s="35">
        <f t="shared" si="0"/>
        <v>0.40662831791864035</v>
      </c>
      <c r="C15" s="140">
        <f>E15-'[1]Italy'!E15</f>
        <v>-4049.899999999998</v>
      </c>
      <c r="D15" s="13">
        <f>F15-'[1]Italy'!F15</f>
        <v>-5324.5999999999985</v>
      </c>
      <c r="E15" s="122">
        <v>29930.8</v>
      </c>
      <c r="F15" s="13">
        <v>21278.4</v>
      </c>
      <c r="G15" s="13">
        <v>23283</v>
      </c>
      <c r="H15" s="13"/>
      <c r="I15" s="94"/>
      <c r="J15" s="94"/>
      <c r="K15" s="94"/>
      <c r="L15" s="94"/>
      <c r="M15" s="94"/>
      <c r="N15" s="94"/>
      <c r="O15" s="94"/>
      <c r="P15" s="94"/>
      <c r="Q15" s="94"/>
      <c r="R15" s="13"/>
      <c r="S15" s="37"/>
    </row>
    <row r="16" spans="1:19" ht="12.75">
      <c r="A16" s="29" t="s">
        <v>19</v>
      </c>
      <c r="B16" s="35">
        <f t="shared" si="0"/>
        <v>0.36874957592926444</v>
      </c>
      <c r="C16" s="140">
        <f>E16-'[1]Italy'!E16</f>
        <v>-30582.070000000007</v>
      </c>
      <c r="D16" s="13">
        <f>F16-'[1]Italy'!F16</f>
        <v>-26506.893158572406</v>
      </c>
      <c r="E16" s="122">
        <v>68552.59999999999</v>
      </c>
      <c r="F16" s="13">
        <v>50084.106841427594</v>
      </c>
      <c r="G16" s="13">
        <v>66756.7</v>
      </c>
      <c r="H16" s="13">
        <v>36400</v>
      </c>
      <c r="I16" s="94">
        <v>65665.9</v>
      </c>
      <c r="J16" s="94">
        <v>62788.66</v>
      </c>
      <c r="K16" s="94">
        <v>61368</v>
      </c>
      <c r="L16" s="94">
        <v>63690</v>
      </c>
      <c r="M16" s="94">
        <v>43299</v>
      </c>
      <c r="N16" s="94">
        <v>48575.8906493786</v>
      </c>
      <c r="O16" s="94">
        <v>49376.2744291121</v>
      </c>
      <c r="P16" s="94">
        <v>64511.67</v>
      </c>
      <c r="Q16" s="94">
        <v>53222.61</v>
      </c>
      <c r="R16" s="13">
        <v>34722.5</v>
      </c>
      <c r="S16" s="37">
        <v>59840</v>
      </c>
    </row>
    <row r="17" spans="1:19" ht="12.75">
      <c r="A17" s="29" t="s">
        <v>106</v>
      </c>
      <c r="B17" s="35">
        <f t="shared" si="0"/>
        <v>0.9229911425476327</v>
      </c>
      <c r="C17" s="140">
        <f>E17-'[1]Italy'!E17</f>
        <v>-4361.860000000001</v>
      </c>
      <c r="D17" s="13">
        <f>F17-'[1]Italy'!F17</f>
        <v>-2481.8</v>
      </c>
      <c r="E17" s="122">
        <v>12071</v>
      </c>
      <c r="F17" s="13">
        <v>6277.2</v>
      </c>
      <c r="G17" s="13">
        <v>12227</v>
      </c>
      <c r="H17" s="13">
        <v>0</v>
      </c>
      <c r="I17" s="94">
        <v>8670.4</v>
      </c>
      <c r="J17" s="94">
        <v>8807.5</v>
      </c>
      <c r="K17" s="94">
        <v>8239</v>
      </c>
      <c r="L17" s="94">
        <v>5491</v>
      </c>
      <c r="M17" s="94">
        <v>2296</v>
      </c>
      <c r="N17" s="94">
        <v>3550.886782428579</v>
      </c>
      <c r="O17" s="94">
        <v>5993.002024925873</v>
      </c>
      <c r="P17" s="94">
        <v>4276.1</v>
      </c>
      <c r="Q17" s="94">
        <v>1547.9</v>
      </c>
      <c r="R17" s="13">
        <v>4659.6</v>
      </c>
      <c r="S17" s="37">
        <v>230</v>
      </c>
    </row>
    <row r="18" spans="1:19" ht="12.75">
      <c r="A18" s="29" t="s">
        <v>21</v>
      </c>
      <c r="B18" s="35"/>
      <c r="C18" s="140">
        <f>E18-'[1]Italy'!E18</f>
        <v>0</v>
      </c>
      <c r="D18" s="13">
        <f>F18-'[1]Italy'!F18</f>
        <v>0</v>
      </c>
      <c r="E18" s="122"/>
      <c r="F18" s="13"/>
      <c r="G18" s="13">
        <v>407</v>
      </c>
      <c r="H18" s="13">
        <v>671</v>
      </c>
      <c r="I18" s="94">
        <v>4410.4</v>
      </c>
      <c r="J18" s="94">
        <v>5295.5</v>
      </c>
      <c r="K18" s="94">
        <v>5820</v>
      </c>
      <c r="L18" s="94">
        <v>3515</v>
      </c>
      <c r="M18" s="94">
        <v>365</v>
      </c>
      <c r="N18" s="94">
        <v>4173.26913972131</v>
      </c>
      <c r="O18" s="94">
        <v>4684.197027353718</v>
      </c>
      <c r="P18" s="94">
        <v>2353.65</v>
      </c>
      <c r="Q18" s="94">
        <v>3581.78</v>
      </c>
      <c r="R18" s="13">
        <v>989</v>
      </c>
      <c r="S18" s="37">
        <v>5055</v>
      </c>
    </row>
    <row r="19" spans="1:19" ht="13.5" thickBot="1">
      <c r="A19" s="28" t="s">
        <v>59</v>
      </c>
      <c r="B19" s="35">
        <f t="shared" si="0"/>
        <v>0.5841416748242414</v>
      </c>
      <c r="C19" s="140">
        <f>E19-'[1]Italy'!E19</f>
        <v>-17094</v>
      </c>
      <c r="D19" s="13">
        <f>F19-'[1]Italy'!F19</f>
        <v>-19193</v>
      </c>
      <c r="E19" s="122">
        <f>6660+28942</f>
        <v>35602</v>
      </c>
      <c r="F19" s="13">
        <f>(3861+18613)</f>
        <v>22474</v>
      </c>
      <c r="G19" s="13">
        <v>30265</v>
      </c>
      <c r="H19" s="13">
        <v>15409</v>
      </c>
      <c r="I19" s="94">
        <v>35897.2</v>
      </c>
      <c r="J19" s="94">
        <v>28007.6</v>
      </c>
      <c r="K19" s="94">
        <v>26283</v>
      </c>
      <c r="L19" s="94">
        <v>19644</v>
      </c>
      <c r="M19" s="94">
        <v>7129</v>
      </c>
      <c r="N19" s="94">
        <v>12141.96821030828</v>
      </c>
      <c r="O19" s="94">
        <v>19096.10727285876</v>
      </c>
      <c r="P19" s="94">
        <v>30939</v>
      </c>
      <c r="Q19" s="94">
        <v>17817</v>
      </c>
      <c r="R19" s="13">
        <v>14196</v>
      </c>
      <c r="S19" s="37">
        <v>16146</v>
      </c>
    </row>
    <row r="20" spans="1:19" ht="13.5" thickBot="1">
      <c r="A20" s="147" t="s">
        <v>23</v>
      </c>
      <c r="B20" s="126">
        <f t="shared" si="0"/>
        <v>0.09053516402488616</v>
      </c>
      <c r="C20" s="167">
        <f>E20-'[1]Italy'!E20</f>
        <v>-224110.29000000004</v>
      </c>
      <c r="D20" s="103">
        <f>F20-'[1]Italy'!F20</f>
        <v>-224322.993860767</v>
      </c>
      <c r="E20" s="160">
        <f>SUM(E2:E19)</f>
        <v>607116.2</v>
      </c>
      <c r="F20" s="103">
        <f>SUM(F2:F19)</f>
        <v>556714.006139233</v>
      </c>
      <c r="G20" s="103">
        <f>SUM(G2:G19)</f>
        <v>692394.5999999999</v>
      </c>
      <c r="H20" s="103">
        <f aca="true" t="shared" si="1" ref="H20:M20">SUM(H2:H19)</f>
        <v>326613</v>
      </c>
      <c r="I20" s="103">
        <f t="shared" si="1"/>
        <v>673776.6450000001</v>
      </c>
      <c r="J20" s="103">
        <f t="shared" si="1"/>
        <v>681203.5120000001</v>
      </c>
      <c r="K20" s="103">
        <f t="shared" si="1"/>
        <v>707376</v>
      </c>
      <c r="L20" s="103">
        <f t="shared" si="1"/>
        <v>608664</v>
      </c>
      <c r="M20" s="103">
        <f t="shared" si="1"/>
        <v>472911</v>
      </c>
      <c r="N20" s="103">
        <f aca="true" t="shared" si="2" ref="N20:S20">SUM(N2:N19)</f>
        <v>596108</v>
      </c>
      <c r="O20" s="103">
        <f t="shared" si="2"/>
        <v>582902</v>
      </c>
      <c r="P20" s="103">
        <f t="shared" si="2"/>
        <v>585606.1599999999</v>
      </c>
      <c r="Q20" s="103">
        <f t="shared" si="2"/>
        <v>615685.2000000001</v>
      </c>
      <c r="R20" s="103">
        <f t="shared" si="2"/>
        <v>484917.1</v>
      </c>
      <c r="S20" s="148">
        <f t="shared" si="2"/>
        <v>495348</v>
      </c>
    </row>
    <row r="21" spans="2:17" s="9" customFormat="1" ht="12.75">
      <c r="B21" s="44"/>
      <c r="C21" s="44"/>
      <c r="D21" s="44"/>
      <c r="E21" s="44"/>
      <c r="F21" s="44"/>
      <c r="G21" s="44"/>
      <c r="H21" s="44"/>
      <c r="I21" s="44"/>
      <c r="J21" s="12"/>
      <c r="K21" s="12"/>
      <c r="L21" s="12"/>
      <c r="M21" s="12"/>
      <c r="N21" s="12"/>
      <c r="O21" s="12"/>
      <c r="P21" s="12"/>
      <c r="Q21" s="12"/>
    </row>
    <row r="22" spans="2:17" s="9" customFormat="1" ht="13.5" thickBot="1">
      <c r="B22" s="44"/>
      <c r="C22" s="44"/>
      <c r="D22" s="44"/>
      <c r="E22" s="44"/>
      <c r="F22" s="44"/>
      <c r="G22" s="44"/>
      <c r="H22" s="44"/>
      <c r="I22" s="44"/>
      <c r="J22" s="12"/>
      <c r="K22" s="12"/>
      <c r="L22" s="12"/>
      <c r="M22" s="12"/>
      <c r="N22" s="12"/>
      <c r="O22" s="12"/>
      <c r="P22" s="12"/>
      <c r="Q22" s="12"/>
    </row>
    <row r="23" spans="1:19" s="16" customFormat="1" ht="13.5" thickBot="1">
      <c r="A23" s="31" t="s">
        <v>25</v>
      </c>
      <c r="B23" s="32" t="s">
        <v>178</v>
      </c>
      <c r="C23" s="162" t="s">
        <v>177</v>
      </c>
      <c r="D23" s="93" t="s">
        <v>171</v>
      </c>
      <c r="E23" s="165">
        <v>44287</v>
      </c>
      <c r="F23" s="132">
        <v>43922</v>
      </c>
      <c r="G23" s="132">
        <v>43556</v>
      </c>
      <c r="H23" s="132">
        <v>43191</v>
      </c>
      <c r="I23" s="33">
        <v>42826</v>
      </c>
      <c r="J23" s="33">
        <v>42461</v>
      </c>
      <c r="K23" s="33">
        <v>42095</v>
      </c>
      <c r="L23" s="33">
        <v>41730</v>
      </c>
      <c r="M23" s="33">
        <v>41365</v>
      </c>
      <c r="N23" s="33">
        <v>41000</v>
      </c>
      <c r="O23" s="33">
        <v>40634</v>
      </c>
      <c r="P23" s="33">
        <v>40269</v>
      </c>
      <c r="Q23" s="33">
        <v>39904</v>
      </c>
      <c r="R23" s="33">
        <v>39539</v>
      </c>
      <c r="S23" s="34">
        <v>39173</v>
      </c>
    </row>
    <row r="24" spans="1:19" ht="12.75">
      <c r="A24" s="27" t="s">
        <v>103</v>
      </c>
      <c r="B24" s="35"/>
      <c r="C24" s="140">
        <f>E24-'[1]Italy'!E24</f>
        <v>-27256.425621819155</v>
      </c>
      <c r="D24" s="13">
        <f>F24-'[1]Italy'!F24</f>
        <v>0</v>
      </c>
      <c r="E24" s="122">
        <v>22320.682140573485</v>
      </c>
      <c r="F24" s="13">
        <v>0</v>
      </c>
      <c r="G24" s="13">
        <v>26829.81983019228</v>
      </c>
      <c r="H24" s="13">
        <v>34021.7952909856</v>
      </c>
      <c r="I24" s="13">
        <v>20538.413424085287</v>
      </c>
      <c r="J24" s="13">
        <v>25154.20880092511</v>
      </c>
      <c r="K24" s="13">
        <v>17792</v>
      </c>
      <c r="L24" s="13">
        <v>26651</v>
      </c>
      <c r="M24" s="13">
        <v>2711.7173071990696</v>
      </c>
      <c r="N24" s="13">
        <v>28065.939289488546</v>
      </c>
      <c r="O24" s="13">
        <v>6928</v>
      </c>
      <c r="P24" s="13">
        <v>3959</v>
      </c>
      <c r="Q24" s="13">
        <v>3252</v>
      </c>
      <c r="R24" s="13">
        <v>2111</v>
      </c>
      <c r="S24" s="37">
        <v>3759</v>
      </c>
    </row>
    <row r="25" spans="1:19" ht="12.75">
      <c r="A25" s="27" t="s">
        <v>7</v>
      </c>
      <c r="B25" s="35"/>
      <c r="C25" s="140">
        <f>E25-'[1]Italy'!E25</f>
        <v>-4750.89054852843</v>
      </c>
      <c r="D25" s="13">
        <f>F25-'[1]Italy'!F25</f>
        <v>0</v>
      </c>
      <c r="E25" s="122">
        <v>9539.829130059596</v>
      </c>
      <c r="F25" s="13">
        <v>0</v>
      </c>
      <c r="G25" s="13">
        <v>16488.082891178656</v>
      </c>
      <c r="H25" s="13">
        <v>15753.36084712658</v>
      </c>
      <c r="I25" s="13">
        <v>10381.299867177708</v>
      </c>
      <c r="J25" s="13">
        <v>25574.152276432193</v>
      </c>
      <c r="K25" s="13">
        <v>18835</v>
      </c>
      <c r="L25" s="13">
        <v>30896</v>
      </c>
      <c r="M25" s="13">
        <v>19726.74659531041</v>
      </c>
      <c r="N25" s="13">
        <v>45864.99702901141</v>
      </c>
      <c r="O25" s="13">
        <v>18811</v>
      </c>
      <c r="P25" s="13">
        <v>36175</v>
      </c>
      <c r="Q25" s="13">
        <v>30863</v>
      </c>
      <c r="R25" s="13">
        <v>29032</v>
      </c>
      <c r="S25" s="37">
        <v>35287</v>
      </c>
    </row>
    <row r="26" spans="1:19" ht="12.75">
      <c r="A26" s="27" t="s">
        <v>104</v>
      </c>
      <c r="B26" s="35"/>
      <c r="C26" s="140">
        <f>E26-'[1]Italy'!E26</f>
        <v>-1115.4360214571236</v>
      </c>
      <c r="D26" s="13">
        <f>F26-'[1]Italy'!F26</f>
        <v>0</v>
      </c>
      <c r="E26" s="122">
        <v>32.48235906485556</v>
      </c>
      <c r="F26" s="13">
        <v>0</v>
      </c>
      <c r="G26" s="13">
        <v>990.1694059020607</v>
      </c>
      <c r="H26" s="13">
        <v>74.76443915123636</v>
      </c>
      <c r="I26" s="13">
        <v>89.2790609218642</v>
      </c>
      <c r="J26" s="13">
        <v>474.0559315953858</v>
      </c>
      <c r="K26" s="13">
        <v>387</v>
      </c>
      <c r="L26" s="13">
        <v>408</v>
      </c>
      <c r="M26" s="13">
        <v>31.68894328710233</v>
      </c>
      <c r="N26" s="13">
        <v>4834.443459908493</v>
      </c>
      <c r="O26" s="13">
        <v>172</v>
      </c>
      <c r="P26" s="13">
        <v>4922</v>
      </c>
      <c r="Q26" s="13">
        <v>340</v>
      </c>
      <c r="R26" s="13">
        <v>2995</v>
      </c>
      <c r="S26" s="37">
        <v>2087</v>
      </c>
    </row>
    <row r="27" spans="1:19" ht="12.75">
      <c r="A27" s="27" t="s">
        <v>30</v>
      </c>
      <c r="B27" s="35"/>
      <c r="C27" s="140">
        <f>E27-'[1]Italy'!E27</f>
        <v>-4564.33505586253</v>
      </c>
      <c r="D27" s="13">
        <f>F27-'[1]Italy'!F27</f>
        <v>0</v>
      </c>
      <c r="E27" s="122">
        <v>9357.275353590529</v>
      </c>
      <c r="F27" s="13">
        <v>0</v>
      </c>
      <c r="G27" s="13">
        <v>3798.4529218193</v>
      </c>
      <c r="H27" s="13">
        <v>5314.64780516314</v>
      </c>
      <c r="I27" s="13">
        <v>2996.125367762611</v>
      </c>
      <c r="J27" s="13">
        <v>8277.037727770903</v>
      </c>
      <c r="K27" s="13">
        <v>1006</v>
      </c>
      <c r="L27" s="13">
        <v>11342</v>
      </c>
      <c r="M27" s="13">
        <v>2078.8098475820602</v>
      </c>
      <c r="N27" s="13">
        <v>8397.915270700918</v>
      </c>
      <c r="O27" s="13">
        <v>1777</v>
      </c>
      <c r="P27" s="13">
        <v>9870</v>
      </c>
      <c r="Q27" s="13">
        <v>666</v>
      </c>
      <c r="R27" s="13">
        <v>1895</v>
      </c>
      <c r="S27" s="37">
        <v>4095</v>
      </c>
    </row>
    <row r="28" spans="1:19" ht="13.5" thickBot="1">
      <c r="A28" s="27" t="s">
        <v>59</v>
      </c>
      <c r="B28" s="35"/>
      <c r="C28" s="140">
        <f>E28-'[1]Italy'!E28</f>
        <v>-3336.622055852589</v>
      </c>
      <c r="D28" s="13">
        <f>F28-'[1]Italy'!F28</f>
        <v>0</v>
      </c>
      <c r="E28" s="122">
        <v>1776.474500837618</v>
      </c>
      <c r="F28" s="13">
        <v>0</v>
      </c>
      <c r="G28" s="13">
        <v>1327.7167251324565</v>
      </c>
      <c r="H28" s="13">
        <v>330</v>
      </c>
      <c r="I28" s="13">
        <v>700</v>
      </c>
      <c r="J28" s="13">
        <v>752.3025295832444</v>
      </c>
      <c r="K28" s="13">
        <v>541.6541746363442</v>
      </c>
      <c r="L28" s="13">
        <v>719</v>
      </c>
      <c r="M28" s="13">
        <v>215</v>
      </c>
      <c r="N28" s="13">
        <v>158.32292448064237</v>
      </c>
      <c r="O28" s="13">
        <v>448</v>
      </c>
      <c r="P28" s="13">
        <v>1359</v>
      </c>
      <c r="Q28" s="13">
        <v>23</v>
      </c>
      <c r="R28" s="13">
        <v>279</v>
      </c>
      <c r="S28" s="37">
        <v>226</v>
      </c>
    </row>
    <row r="29" spans="1:19" ht="13.5" thickBot="1">
      <c r="A29" s="31" t="s">
        <v>23</v>
      </c>
      <c r="B29" s="126"/>
      <c r="C29" s="167">
        <f>E29-'[1]Italy'!E29</f>
        <v>-41023.70930351982</v>
      </c>
      <c r="D29" s="103">
        <f>F29-'[1]Italy'!F29</f>
        <v>0</v>
      </c>
      <c r="E29" s="160">
        <f>SUM(E24:E28)</f>
        <v>43026.743484126084</v>
      </c>
      <c r="F29" s="103">
        <v>0</v>
      </c>
      <c r="G29" s="103">
        <f>SUM(G24:G28)</f>
        <v>49434.24177422475</v>
      </c>
      <c r="H29" s="103">
        <f>SUM(H24:H28)</f>
        <v>55494.568382426565</v>
      </c>
      <c r="I29" s="103">
        <v>34705.11771994747</v>
      </c>
      <c r="J29" s="103">
        <v>60231.757266306835</v>
      </c>
      <c r="K29" s="103">
        <v>38561.654174636344</v>
      </c>
      <c r="L29" s="103">
        <v>70016</v>
      </c>
      <c r="M29" s="103">
        <f>SUM(M24:M28)</f>
        <v>24763.962693378642</v>
      </c>
      <c r="N29" s="103">
        <f aca="true" t="shared" si="3" ref="N29:S29">SUM(N24:N28)</f>
        <v>87321.61797359001</v>
      </c>
      <c r="O29" s="103">
        <f t="shared" si="3"/>
        <v>28136</v>
      </c>
      <c r="P29" s="103">
        <f t="shared" si="3"/>
        <v>56285</v>
      </c>
      <c r="Q29" s="103">
        <f t="shared" si="3"/>
        <v>35144</v>
      </c>
      <c r="R29" s="103">
        <f t="shared" si="3"/>
        <v>36312</v>
      </c>
      <c r="S29" s="148">
        <f t="shared" si="3"/>
        <v>45454</v>
      </c>
    </row>
    <row r="31" ht="12.75">
      <c r="A31" s="12"/>
    </row>
    <row r="36" spans="18:20" ht="18">
      <c r="R36" s="5"/>
      <c r="S36" s="1"/>
      <c r="T36" s="1"/>
    </row>
    <row r="37" spans="18:20" ht="18">
      <c r="R37" s="5"/>
      <c r="S37" s="1"/>
      <c r="T37" s="1"/>
    </row>
    <row r="38" spans="18:20" ht="18">
      <c r="R38" s="5"/>
      <c r="S38" s="1"/>
      <c r="T38" s="1"/>
    </row>
    <row r="39" spans="18:20" ht="18">
      <c r="R39" s="5"/>
      <c r="S39" s="1"/>
      <c r="T39" s="1"/>
    </row>
    <row r="40" spans="18:20" ht="18">
      <c r="R40" s="5"/>
      <c r="S40" s="1"/>
      <c r="T40" s="1"/>
    </row>
    <row r="41" spans="18:20" ht="18">
      <c r="R41" s="5"/>
      <c r="S41" s="1"/>
      <c r="T41" s="1"/>
    </row>
    <row r="42" spans="18:20" ht="18">
      <c r="R42" s="5"/>
      <c r="S42" s="1"/>
      <c r="T42" s="1"/>
    </row>
    <row r="43" spans="18:20" ht="18">
      <c r="R43" s="5"/>
      <c r="S43" s="1"/>
      <c r="T43" s="1"/>
    </row>
    <row r="44" spans="18:20" ht="18">
      <c r="R44" s="5"/>
      <c r="S44" s="1"/>
      <c r="T44" s="1"/>
    </row>
    <row r="45" spans="18:20" ht="18">
      <c r="R45" s="5"/>
      <c r="S45" s="1"/>
      <c r="T45" s="1"/>
    </row>
    <row r="46" spans="18:20" ht="18">
      <c r="R46" s="6"/>
      <c r="S46" s="1"/>
      <c r="T46" s="1"/>
    </row>
    <row r="47" spans="18:20" ht="18">
      <c r="R47" s="7"/>
      <c r="S47" s="2"/>
      <c r="T47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3"/>
  <sheetViews>
    <sheetView zoomScale="112" zoomScaleNormal="112" zoomScalePageLayoutView="0" workbookViewId="0" topLeftCell="A1">
      <selection activeCell="F29" sqref="F29"/>
    </sheetView>
  </sheetViews>
  <sheetFormatPr defaultColWidth="8.8515625" defaultRowHeight="12.75"/>
  <cols>
    <col min="1" max="1" width="29.140625" style="0" customWidth="1"/>
    <col min="2" max="2" width="10.8515625" style="0" customWidth="1"/>
    <col min="3" max="3" width="11.7109375" style="0" bestFit="1" customWidth="1"/>
    <col min="4" max="4" width="11.7109375" style="9" bestFit="1" customWidth="1"/>
    <col min="5" max="6" width="11.7109375" style="9" customWidth="1"/>
    <col min="7" max="7" width="11.7109375" style="0" customWidth="1"/>
    <col min="8" max="8" width="11.28125" style="9" customWidth="1"/>
    <col min="9" max="9" width="10.8515625" style="0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32" t="s">
        <v>178</v>
      </c>
      <c r="C1" s="162" t="s">
        <v>177</v>
      </c>
      <c r="D1" s="93" t="s">
        <v>171</v>
      </c>
      <c r="E1" s="165">
        <v>44287</v>
      </c>
      <c r="F1" s="132">
        <v>43922</v>
      </c>
      <c r="G1" s="132">
        <v>43556</v>
      </c>
      <c r="H1" s="132">
        <v>43191</v>
      </c>
      <c r="I1" s="33">
        <v>42826</v>
      </c>
      <c r="J1" s="33">
        <v>42461</v>
      </c>
      <c r="K1" s="33">
        <v>42095</v>
      </c>
      <c r="L1" s="33">
        <v>41730</v>
      </c>
      <c r="M1" s="33">
        <v>41365</v>
      </c>
      <c r="N1" s="33">
        <v>41000</v>
      </c>
      <c r="O1" s="33">
        <v>40634</v>
      </c>
      <c r="P1" s="33">
        <v>40269</v>
      </c>
      <c r="Q1" s="33">
        <v>39904</v>
      </c>
      <c r="R1" s="33">
        <v>39539</v>
      </c>
      <c r="S1" s="34">
        <v>39173</v>
      </c>
    </row>
    <row r="2" spans="1:19" ht="12.75">
      <c r="A2" s="53" t="s">
        <v>4</v>
      </c>
      <c r="B2" s="35"/>
      <c r="C2" s="140">
        <f>E2-'[1]Poland'!E2</f>
        <v>0</v>
      </c>
      <c r="D2" s="13">
        <f>F2-'[1]Poland'!F2</f>
        <v>0</v>
      </c>
      <c r="E2" s="122"/>
      <c r="F2" s="13"/>
      <c r="G2" s="13"/>
      <c r="H2" s="81"/>
      <c r="I2" s="81"/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37">
        <v>0</v>
      </c>
    </row>
    <row r="3" spans="1:19" ht="12.75">
      <c r="A3" s="53" t="s">
        <v>33</v>
      </c>
      <c r="B3" s="35"/>
      <c r="C3" s="140">
        <f>E3-'[1]Poland'!E3</f>
        <v>0</v>
      </c>
      <c r="D3" s="13">
        <f>F3-'[1]Poland'!F3</f>
        <v>0</v>
      </c>
      <c r="E3" s="122"/>
      <c r="F3" s="13"/>
      <c r="G3" s="13"/>
      <c r="H3" s="13"/>
      <c r="I3" s="13"/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8000</v>
      </c>
      <c r="Q3" s="13">
        <v>1000</v>
      </c>
      <c r="R3" s="13">
        <v>0</v>
      </c>
      <c r="S3" s="37">
        <v>5000</v>
      </c>
    </row>
    <row r="4" spans="1:19" ht="12.75">
      <c r="A4" s="27" t="s">
        <v>2</v>
      </c>
      <c r="B4" s="35"/>
      <c r="C4" s="140">
        <f>E4-'[1]Poland'!E4</f>
        <v>0</v>
      </c>
      <c r="D4" s="13">
        <f>F4-'[1]Poland'!F4</f>
        <v>0</v>
      </c>
      <c r="E4" s="122"/>
      <c r="F4" s="13"/>
      <c r="G4" s="13"/>
      <c r="H4" s="13"/>
      <c r="I4" s="13"/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5000</v>
      </c>
      <c r="Q4" s="13">
        <v>1000</v>
      </c>
      <c r="R4" s="13">
        <v>0</v>
      </c>
      <c r="S4" s="37">
        <v>0</v>
      </c>
    </row>
    <row r="5" spans="1:19" ht="12.75">
      <c r="A5" s="27" t="s">
        <v>9</v>
      </c>
      <c r="B5" s="35">
        <f>(E5-F5)/F5</f>
        <v>1</v>
      </c>
      <c r="C5" s="140">
        <f>E5-'[1]Poland'!E5</f>
        <v>-35000</v>
      </c>
      <c r="D5" s="13">
        <f>F5-'[1]Poland'!F5</f>
        <v>-15000</v>
      </c>
      <c r="E5" s="122">
        <v>30000</v>
      </c>
      <c r="F5" s="13">
        <v>15000</v>
      </c>
      <c r="G5" s="13">
        <v>20000</v>
      </c>
      <c r="H5" s="13">
        <v>7000</v>
      </c>
      <c r="I5" s="13">
        <v>10000</v>
      </c>
      <c r="J5" s="13">
        <v>15000</v>
      </c>
      <c r="K5" s="13">
        <v>12000</v>
      </c>
      <c r="L5" s="13">
        <v>25000</v>
      </c>
      <c r="M5" s="13">
        <v>5000</v>
      </c>
      <c r="N5" s="13">
        <v>5000</v>
      </c>
      <c r="O5" s="13">
        <v>20000</v>
      </c>
      <c r="P5" s="13">
        <v>40000</v>
      </c>
      <c r="Q5" s="13">
        <v>15000</v>
      </c>
      <c r="R5" s="13">
        <v>10000</v>
      </c>
      <c r="S5" s="37">
        <v>10000</v>
      </c>
    </row>
    <row r="6" spans="1:19" ht="12.75">
      <c r="A6" s="27" t="s">
        <v>14</v>
      </c>
      <c r="B6" s="35">
        <f aca="true" t="shared" si="0" ref="B6:B18">(E6-F6)/F6</f>
        <v>0.125</v>
      </c>
      <c r="C6" s="140">
        <f>E6-'[1]Poland'!E6</f>
        <v>-10000</v>
      </c>
      <c r="D6" s="13">
        <f>F6-'[1]Poland'!F6</f>
        <v>-10000</v>
      </c>
      <c r="E6" s="122">
        <v>45000</v>
      </c>
      <c r="F6" s="13">
        <v>40000</v>
      </c>
      <c r="G6" s="13">
        <v>40000</v>
      </c>
      <c r="H6" s="13">
        <v>40000</v>
      </c>
      <c r="I6" s="13">
        <v>50000</v>
      </c>
      <c r="J6" s="13">
        <v>45000</v>
      </c>
      <c r="K6" s="13">
        <v>40000</v>
      </c>
      <c r="L6" s="13">
        <v>40000</v>
      </c>
      <c r="M6" s="13">
        <v>40000</v>
      </c>
      <c r="N6" s="13">
        <v>40000</v>
      </c>
      <c r="O6" s="13">
        <v>5000</v>
      </c>
      <c r="P6" s="13">
        <v>8000</v>
      </c>
      <c r="Q6" s="13">
        <v>3000</v>
      </c>
      <c r="R6" s="13">
        <v>5000</v>
      </c>
      <c r="S6" s="37">
        <v>8000</v>
      </c>
    </row>
    <row r="7" spans="1:19" ht="12.75">
      <c r="A7" s="29" t="s">
        <v>3</v>
      </c>
      <c r="B7" s="35">
        <f t="shared" si="0"/>
        <v>0</v>
      </c>
      <c r="C7" s="140">
        <f>E7-'[1]Poland'!E7</f>
        <v>-25000</v>
      </c>
      <c r="D7" s="13">
        <f>F7-'[1]Poland'!F7</f>
        <v>-20000</v>
      </c>
      <c r="E7" s="122">
        <v>60000</v>
      </c>
      <c r="F7" s="13">
        <v>60000</v>
      </c>
      <c r="G7" s="13">
        <v>70000</v>
      </c>
      <c r="H7" s="94">
        <v>90000</v>
      </c>
      <c r="I7" s="94">
        <v>95000</v>
      </c>
      <c r="J7" s="94">
        <v>95000</v>
      </c>
      <c r="K7" s="94">
        <v>85000</v>
      </c>
      <c r="L7" s="94">
        <v>80000</v>
      </c>
      <c r="M7" s="94">
        <v>65000</v>
      </c>
      <c r="N7" s="94">
        <v>50000</v>
      </c>
      <c r="O7" s="94">
        <v>20000</v>
      </c>
      <c r="P7" s="94">
        <v>40000</v>
      </c>
      <c r="Q7" s="94">
        <v>30000</v>
      </c>
      <c r="R7" s="13">
        <v>20000</v>
      </c>
      <c r="S7" s="37">
        <v>22000</v>
      </c>
    </row>
    <row r="8" spans="1:19" ht="12.75">
      <c r="A8" s="29" t="s">
        <v>10</v>
      </c>
      <c r="B8" s="35">
        <f t="shared" si="0"/>
        <v>0.75</v>
      </c>
      <c r="C8" s="140">
        <f>E8-'[1]Poland'!E8</f>
        <v>-30000</v>
      </c>
      <c r="D8" s="13">
        <f>F8-'[1]Poland'!F8</f>
        <v>-30000</v>
      </c>
      <c r="E8" s="122">
        <v>140000</v>
      </c>
      <c r="F8" s="13">
        <v>80000</v>
      </c>
      <c r="G8" s="13">
        <v>190000</v>
      </c>
      <c r="H8" s="94">
        <v>70000</v>
      </c>
      <c r="I8" s="94">
        <v>170000</v>
      </c>
      <c r="J8" s="94">
        <v>170000</v>
      </c>
      <c r="K8" s="94">
        <v>140000</v>
      </c>
      <c r="L8" s="94">
        <v>150000</v>
      </c>
      <c r="M8" s="94">
        <v>130000</v>
      </c>
      <c r="N8" s="94">
        <v>120000</v>
      </c>
      <c r="O8" s="94">
        <v>40000</v>
      </c>
      <c r="P8" s="94">
        <v>60000</v>
      </c>
      <c r="Q8" s="94">
        <v>70000</v>
      </c>
      <c r="R8" s="13">
        <v>20000</v>
      </c>
      <c r="S8" s="37">
        <v>40000</v>
      </c>
    </row>
    <row r="9" spans="1:19" ht="12.75">
      <c r="A9" s="29" t="s">
        <v>27</v>
      </c>
      <c r="B9" s="35">
        <f t="shared" si="0"/>
        <v>3</v>
      </c>
      <c r="C9" s="140">
        <f>E9-'[1]Poland'!E9</f>
        <v>-20000</v>
      </c>
      <c r="D9" s="13">
        <f>F9-'[1]Poland'!F9</f>
        <v>-10000</v>
      </c>
      <c r="E9" s="122">
        <v>40000</v>
      </c>
      <c r="F9" s="13">
        <v>10000</v>
      </c>
      <c r="G9" s="13">
        <v>30000</v>
      </c>
      <c r="H9" s="94">
        <v>10000</v>
      </c>
      <c r="I9" s="94">
        <v>45000</v>
      </c>
      <c r="J9" s="94">
        <v>50000</v>
      </c>
      <c r="K9" s="94">
        <v>40000</v>
      </c>
      <c r="L9" s="94">
        <v>40000</v>
      </c>
      <c r="M9" s="94">
        <v>40000</v>
      </c>
      <c r="N9" s="94">
        <v>40000</v>
      </c>
      <c r="O9" s="94">
        <v>10000</v>
      </c>
      <c r="P9" s="94">
        <v>30000</v>
      </c>
      <c r="Q9" s="94">
        <v>5000</v>
      </c>
      <c r="R9" s="13">
        <v>0</v>
      </c>
      <c r="S9" s="37">
        <v>3000</v>
      </c>
    </row>
    <row r="10" spans="1:19" ht="12.75">
      <c r="A10" s="29" t="s">
        <v>157</v>
      </c>
      <c r="B10" s="35">
        <f t="shared" si="0"/>
        <v>5.428571428571429</v>
      </c>
      <c r="C10" s="140">
        <f>E10-'[1]Poland'!E10</f>
        <v>-25000</v>
      </c>
      <c r="D10" s="13">
        <f>F10-'[1]Poland'!F10</f>
        <v>-8000</v>
      </c>
      <c r="E10" s="122">
        <v>45000</v>
      </c>
      <c r="F10" s="13">
        <v>7000</v>
      </c>
      <c r="G10" s="13">
        <v>65000</v>
      </c>
      <c r="H10" s="94">
        <v>30000</v>
      </c>
      <c r="I10" s="94">
        <v>65000</v>
      </c>
      <c r="J10" s="94">
        <v>65000</v>
      </c>
      <c r="K10" s="94">
        <v>60000</v>
      </c>
      <c r="L10" s="94">
        <v>60000</v>
      </c>
      <c r="M10" s="94">
        <v>60000</v>
      </c>
      <c r="N10" s="94">
        <v>60000</v>
      </c>
      <c r="O10" s="94">
        <v>0</v>
      </c>
      <c r="P10" s="94">
        <v>0</v>
      </c>
      <c r="Q10" s="94">
        <v>1000</v>
      </c>
      <c r="R10" s="13">
        <v>0</v>
      </c>
      <c r="S10" s="37">
        <v>0</v>
      </c>
    </row>
    <row r="11" spans="1:19" ht="12.75">
      <c r="A11" s="79" t="s">
        <v>34</v>
      </c>
      <c r="B11" s="35"/>
      <c r="C11" s="140">
        <f>E11-'[1]Poland'!E11</f>
        <v>0</v>
      </c>
      <c r="D11" s="13">
        <f>F11-'[1]Poland'!F11</f>
        <v>0</v>
      </c>
      <c r="E11" s="122"/>
      <c r="F11" s="13"/>
      <c r="G11" s="13"/>
      <c r="H11" s="94"/>
      <c r="I11" s="94"/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5000</v>
      </c>
      <c r="P11" s="94">
        <v>26000</v>
      </c>
      <c r="Q11" s="94">
        <v>10000</v>
      </c>
      <c r="R11" s="13">
        <v>4000</v>
      </c>
      <c r="S11" s="37">
        <v>5000</v>
      </c>
    </row>
    <row r="12" spans="1:19" ht="12.75">
      <c r="A12" s="79" t="s">
        <v>13</v>
      </c>
      <c r="B12" s="35">
        <f t="shared" si="0"/>
        <v>2.5</v>
      </c>
      <c r="C12" s="140">
        <f>E12-'[1]Poland'!E12</f>
        <v>-8000</v>
      </c>
      <c r="D12" s="13">
        <f>F12-'[1]Poland'!F12</f>
        <v>-3000</v>
      </c>
      <c r="E12" s="122">
        <v>7000</v>
      </c>
      <c r="F12" s="13">
        <v>2000</v>
      </c>
      <c r="G12" s="13">
        <v>5000</v>
      </c>
      <c r="H12" s="94"/>
      <c r="I12" s="94"/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13">
        <v>0</v>
      </c>
      <c r="S12" s="37">
        <v>0</v>
      </c>
    </row>
    <row r="13" spans="1:19" ht="12.75">
      <c r="A13" s="79" t="s">
        <v>19</v>
      </c>
      <c r="B13" s="35"/>
      <c r="C13" s="140">
        <f>E13-'[1]Poland'!E13</f>
        <v>-2000</v>
      </c>
      <c r="D13" s="13">
        <f>F13-'[1]Poland'!F13</f>
        <v>-2000</v>
      </c>
      <c r="E13" s="122">
        <v>5000</v>
      </c>
      <c r="F13" s="13">
        <v>0</v>
      </c>
      <c r="G13" s="13"/>
      <c r="H13" s="94"/>
      <c r="I13" s="94"/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3000</v>
      </c>
      <c r="Q13" s="94">
        <v>3000</v>
      </c>
      <c r="R13" s="13">
        <v>1000</v>
      </c>
      <c r="S13" s="37">
        <v>1000</v>
      </c>
    </row>
    <row r="14" spans="1:19" ht="12.75">
      <c r="A14" s="79" t="s">
        <v>133</v>
      </c>
      <c r="B14" s="35">
        <f t="shared" si="0"/>
        <v>0.5</v>
      </c>
      <c r="C14" s="140">
        <f>E14-'[1]Poland'!E14</f>
        <v>-20000</v>
      </c>
      <c r="D14" s="13">
        <f>F14-'[1]Poland'!F14</f>
        <v>-10000</v>
      </c>
      <c r="E14" s="122">
        <v>60000</v>
      </c>
      <c r="F14" s="13">
        <v>40000</v>
      </c>
      <c r="G14" s="13">
        <v>20000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13"/>
      <c r="S14" s="37"/>
    </row>
    <row r="15" spans="1:19" ht="12.75">
      <c r="A15" s="79" t="s">
        <v>89</v>
      </c>
      <c r="B15" s="35">
        <f t="shared" si="0"/>
        <v>0.25</v>
      </c>
      <c r="C15" s="140">
        <f>E15-'[1]Poland'!E15</f>
        <v>-30000</v>
      </c>
      <c r="D15" s="13">
        <f>F15-'[1]Poland'!F15</f>
        <v>-20000</v>
      </c>
      <c r="E15" s="122">
        <v>50000</v>
      </c>
      <c r="F15" s="13">
        <v>40000</v>
      </c>
      <c r="G15" s="13">
        <v>125000</v>
      </c>
      <c r="H15" s="94">
        <v>35000</v>
      </c>
      <c r="I15" s="94">
        <v>70000</v>
      </c>
      <c r="J15" s="94">
        <v>70000</v>
      </c>
      <c r="K15" s="94">
        <v>65000</v>
      </c>
      <c r="L15" s="94">
        <v>70000</v>
      </c>
      <c r="M15" s="94">
        <v>50000</v>
      </c>
      <c r="N15" s="94">
        <v>50000</v>
      </c>
      <c r="O15" s="94">
        <v>20000</v>
      </c>
      <c r="P15" s="94">
        <v>20000</v>
      </c>
      <c r="Q15" s="94">
        <v>20000</v>
      </c>
      <c r="R15" s="13">
        <v>5000</v>
      </c>
      <c r="S15" s="37">
        <v>10000</v>
      </c>
    </row>
    <row r="16" spans="1:19" ht="12.75">
      <c r="A16" s="79" t="s">
        <v>35</v>
      </c>
      <c r="B16" s="35"/>
      <c r="C16" s="140">
        <f>E16-'[1]Poland'!E16</f>
        <v>0</v>
      </c>
      <c r="D16" s="13">
        <f>F16-'[1]Poland'!F16</f>
        <v>0</v>
      </c>
      <c r="E16" s="122"/>
      <c r="F16" s="13"/>
      <c r="G16" s="13"/>
      <c r="H16" s="94"/>
      <c r="I16" s="94"/>
      <c r="J16" s="94">
        <v>0</v>
      </c>
      <c r="K16" s="94">
        <v>0</v>
      </c>
      <c r="L16" s="94"/>
      <c r="M16" s="94"/>
      <c r="N16" s="94">
        <v>0</v>
      </c>
      <c r="O16" s="94">
        <v>0</v>
      </c>
      <c r="P16" s="94">
        <v>0</v>
      </c>
      <c r="Q16" s="94">
        <v>1000</v>
      </c>
      <c r="R16" s="13">
        <v>0</v>
      </c>
      <c r="S16" s="37">
        <v>0</v>
      </c>
    </row>
    <row r="17" spans="1:19" ht="13.5" thickBot="1">
      <c r="A17" s="28" t="s">
        <v>59</v>
      </c>
      <c r="B17" s="35">
        <f t="shared" si="0"/>
        <v>2.142857142857143</v>
      </c>
      <c r="C17" s="140">
        <f>E17-'[1]Poland'!E17</f>
        <v>-40000</v>
      </c>
      <c r="D17" s="13">
        <f>F17-'[1]Poland'!F17</f>
        <v>-15000</v>
      </c>
      <c r="E17" s="122">
        <v>110000</v>
      </c>
      <c r="F17" s="13">
        <v>35000</v>
      </c>
      <c r="G17" s="13">
        <v>100000</v>
      </c>
      <c r="H17" s="94">
        <v>4000</v>
      </c>
      <c r="I17" s="94">
        <v>75000</v>
      </c>
      <c r="J17" s="94">
        <v>85000</v>
      </c>
      <c r="K17" s="94">
        <v>60000</v>
      </c>
      <c r="L17" s="94">
        <v>30000</v>
      </c>
      <c r="M17" s="94">
        <v>10000</v>
      </c>
      <c r="N17" s="94">
        <v>20000</v>
      </c>
      <c r="O17" s="94">
        <v>10000</v>
      </c>
      <c r="P17" s="94">
        <v>10000</v>
      </c>
      <c r="Q17" s="94">
        <v>5000</v>
      </c>
      <c r="R17" s="13">
        <v>15000</v>
      </c>
      <c r="S17" s="37">
        <v>6000</v>
      </c>
    </row>
    <row r="18" spans="1:19" s="92" customFormat="1" ht="13.5" thickBot="1">
      <c r="A18" s="147" t="s">
        <v>23</v>
      </c>
      <c r="B18" s="156">
        <f t="shared" si="0"/>
        <v>0.7993920972644377</v>
      </c>
      <c r="C18" s="167">
        <f>E18-'[1]Poland'!E18</f>
        <v>-245000</v>
      </c>
      <c r="D18" s="103">
        <f>F18-'[1]Poland'!F18</f>
        <v>-143000</v>
      </c>
      <c r="E18" s="160">
        <f>SUM(E2:E17)</f>
        <v>592000</v>
      </c>
      <c r="F18" s="103">
        <f>SUM(F2:F17)</f>
        <v>329000</v>
      </c>
      <c r="G18" s="103">
        <f>SUM(G2:G17)</f>
        <v>665000</v>
      </c>
      <c r="H18" s="103">
        <f>SUM(H2:H17)</f>
        <v>286000</v>
      </c>
      <c r="I18" s="103">
        <v>580000</v>
      </c>
      <c r="J18" s="103">
        <v>595000</v>
      </c>
      <c r="K18" s="103">
        <f>SUM(K2:K17)</f>
        <v>502000</v>
      </c>
      <c r="L18" s="103">
        <f>SUM(L2:L17)</f>
        <v>495000</v>
      </c>
      <c r="M18" s="103">
        <f>SUM(M2:M17)</f>
        <v>400000</v>
      </c>
      <c r="N18" s="103">
        <f aca="true" t="shared" si="1" ref="N18:S18">SUM(N2:N17)</f>
        <v>385000</v>
      </c>
      <c r="O18" s="103">
        <f t="shared" si="1"/>
        <v>130000</v>
      </c>
      <c r="P18" s="103">
        <f t="shared" si="1"/>
        <v>250000</v>
      </c>
      <c r="Q18" s="103">
        <f t="shared" si="1"/>
        <v>165000</v>
      </c>
      <c r="R18" s="103">
        <f t="shared" si="1"/>
        <v>80000</v>
      </c>
      <c r="S18" s="148">
        <f t="shared" si="1"/>
        <v>110000</v>
      </c>
    </row>
    <row r="19" spans="2:17" s="9" customFormat="1" ht="12.75">
      <c r="B19" s="44"/>
      <c r="C19" s="44"/>
      <c r="D19" s="44"/>
      <c r="E19" s="44"/>
      <c r="F19" s="44"/>
      <c r="G19" s="44"/>
      <c r="H19" s="44"/>
      <c r="I19" s="44"/>
      <c r="J19" s="12"/>
      <c r="K19" s="12"/>
      <c r="L19" s="12"/>
      <c r="M19" s="12"/>
      <c r="N19" s="12"/>
      <c r="O19" s="12"/>
      <c r="P19" s="12"/>
      <c r="Q19" s="12"/>
    </row>
    <row r="20" spans="2:17" s="9" customFormat="1" ht="13.5" thickBot="1">
      <c r="B20" s="44"/>
      <c r="C20" s="44"/>
      <c r="D20" s="44"/>
      <c r="E20" s="44"/>
      <c r="F20" s="44"/>
      <c r="G20" s="44"/>
      <c r="H20" s="44"/>
      <c r="I20" s="44"/>
      <c r="J20" s="12"/>
      <c r="K20" s="12"/>
      <c r="L20" s="12"/>
      <c r="M20" s="12"/>
      <c r="N20" s="12"/>
      <c r="O20" s="12"/>
      <c r="P20" s="12"/>
      <c r="Q20" s="12"/>
    </row>
    <row r="21" spans="1:19" s="16" customFormat="1" ht="13.5" thickBot="1">
      <c r="A21" s="31" t="s">
        <v>25</v>
      </c>
      <c r="B21" s="32" t="s">
        <v>178</v>
      </c>
      <c r="C21" s="162" t="s">
        <v>177</v>
      </c>
      <c r="D21" s="93" t="s">
        <v>171</v>
      </c>
      <c r="E21" s="165">
        <v>44287</v>
      </c>
      <c r="F21" s="132">
        <v>43922</v>
      </c>
      <c r="G21" s="132">
        <v>43556</v>
      </c>
      <c r="H21" s="33">
        <v>42826</v>
      </c>
      <c r="I21" s="33">
        <v>42826</v>
      </c>
      <c r="J21" s="33">
        <v>42461</v>
      </c>
      <c r="K21" s="33">
        <v>42095</v>
      </c>
      <c r="L21" s="33">
        <v>41730</v>
      </c>
      <c r="M21" s="33">
        <v>41365</v>
      </c>
      <c r="N21" s="33">
        <v>41000</v>
      </c>
      <c r="O21" s="33">
        <v>40634</v>
      </c>
      <c r="P21" s="33">
        <v>40269</v>
      </c>
      <c r="Q21" s="33">
        <v>39904</v>
      </c>
      <c r="R21" s="33">
        <v>39539</v>
      </c>
      <c r="S21" s="34">
        <v>39173</v>
      </c>
    </row>
    <row r="22" spans="1:19" ht="12.75">
      <c r="A22" s="27" t="s">
        <v>7</v>
      </c>
      <c r="B22" s="35"/>
      <c r="C22" s="140">
        <f>E22-'[1]Poland'!E22</f>
        <v>-1000</v>
      </c>
      <c r="D22" s="13">
        <f>F22-'[1]Poland'!F22</f>
        <v>0</v>
      </c>
      <c r="E22" s="122">
        <v>1000</v>
      </c>
      <c r="F22" s="13">
        <v>0</v>
      </c>
      <c r="G22" s="13">
        <v>0</v>
      </c>
      <c r="H22" s="13">
        <v>0</v>
      </c>
      <c r="I22" s="13">
        <v>0</v>
      </c>
      <c r="J22" s="13">
        <v>1000</v>
      </c>
      <c r="K22" s="13">
        <v>0</v>
      </c>
      <c r="L22" s="13">
        <v>2000</v>
      </c>
      <c r="M22" s="13">
        <v>0</v>
      </c>
      <c r="N22" s="13">
        <v>0</v>
      </c>
      <c r="O22" s="13">
        <v>0</v>
      </c>
      <c r="P22" s="13">
        <v>4000</v>
      </c>
      <c r="Q22" s="13">
        <v>1000</v>
      </c>
      <c r="R22" s="13">
        <v>0</v>
      </c>
      <c r="S22" s="37">
        <v>1500</v>
      </c>
    </row>
    <row r="23" spans="1:19" ht="12.75">
      <c r="A23" s="53" t="s">
        <v>93</v>
      </c>
      <c r="B23" s="35"/>
      <c r="C23" s="140">
        <f>E23-'[1]Poland'!E23</f>
        <v>0</v>
      </c>
      <c r="D23" s="13">
        <f>F23-'[1]Poland'!F23</f>
        <v>0</v>
      </c>
      <c r="E23" s="122"/>
      <c r="F23" s="13">
        <v>0</v>
      </c>
      <c r="G23" s="13">
        <v>0</v>
      </c>
      <c r="H23" s="13">
        <v>0</v>
      </c>
      <c r="I23" s="13">
        <v>0</v>
      </c>
      <c r="J23" s="13"/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37">
        <v>0</v>
      </c>
    </row>
    <row r="24" spans="1:19" ht="13.5" thickBot="1">
      <c r="A24" s="27" t="s">
        <v>59</v>
      </c>
      <c r="B24" s="35"/>
      <c r="C24" s="140">
        <f>E24-'[1]Poland'!E24</f>
        <v>0</v>
      </c>
      <c r="D24" s="13">
        <f>F24-'[1]Poland'!F24</f>
        <v>0</v>
      </c>
      <c r="E24" s="122"/>
      <c r="F24" s="13">
        <v>0</v>
      </c>
      <c r="G24" s="13">
        <v>0</v>
      </c>
      <c r="H24" s="13">
        <v>0</v>
      </c>
      <c r="I24" s="13">
        <v>0</v>
      </c>
      <c r="J24" s="13"/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37">
        <v>500</v>
      </c>
    </row>
    <row r="25" spans="1:19" ht="13.5" thickBot="1">
      <c r="A25" s="31" t="s">
        <v>23</v>
      </c>
      <c r="B25" s="126"/>
      <c r="C25" s="167">
        <f>E25-'[1]Poland'!E25</f>
        <v>-1000</v>
      </c>
      <c r="D25" s="103">
        <f>F25-'[1]Poland'!F25</f>
        <v>0</v>
      </c>
      <c r="E25" s="160">
        <v>1000</v>
      </c>
      <c r="F25" s="103">
        <f>SUM(F22:F24)</f>
        <v>0</v>
      </c>
      <c r="G25" s="103">
        <v>0</v>
      </c>
      <c r="H25" s="103">
        <f>SUM(H22:H24)</f>
        <v>0</v>
      </c>
      <c r="I25" s="103">
        <f>SUM(I22:I24)</f>
        <v>0</v>
      </c>
      <c r="J25" s="103">
        <v>1000</v>
      </c>
      <c r="K25" s="103">
        <f>SUM(K22:K24)</f>
        <v>0</v>
      </c>
      <c r="L25" s="103">
        <f>SUM(L22:L24)</f>
        <v>2000</v>
      </c>
      <c r="M25" s="103">
        <f>SUM(M22:M24)</f>
        <v>0</v>
      </c>
      <c r="N25" s="103">
        <f aca="true" t="shared" si="2" ref="N25:S25">SUM(N22:N24)</f>
        <v>0</v>
      </c>
      <c r="O25" s="103">
        <f t="shared" si="2"/>
        <v>0</v>
      </c>
      <c r="P25" s="103">
        <f t="shared" si="2"/>
        <v>4000</v>
      </c>
      <c r="Q25" s="103">
        <f t="shared" si="2"/>
        <v>1000</v>
      </c>
      <c r="R25" s="103">
        <f t="shared" si="2"/>
        <v>0</v>
      </c>
      <c r="S25" s="148">
        <f t="shared" si="2"/>
        <v>2000</v>
      </c>
    </row>
    <row r="27" ht="15.75">
      <c r="A27" s="145" t="s">
        <v>168</v>
      </c>
    </row>
    <row r="28" ht="15.75">
      <c r="A28" s="145" t="s">
        <v>169</v>
      </c>
    </row>
    <row r="32" spans="18:20" ht="18">
      <c r="R32" s="5"/>
      <c r="S32" s="1"/>
      <c r="T32" s="1"/>
    </row>
    <row r="33" spans="18:20" ht="18">
      <c r="R33" s="5"/>
      <c r="S33" s="1"/>
      <c r="T33" s="1"/>
    </row>
    <row r="34" spans="18:20" ht="18">
      <c r="R34" s="5"/>
      <c r="S34" s="1"/>
      <c r="T34" s="1"/>
    </row>
    <row r="35" spans="18:20" ht="18">
      <c r="R35" s="5"/>
      <c r="S35" s="1"/>
      <c r="T35" s="1"/>
    </row>
    <row r="36" spans="18:20" ht="18">
      <c r="R36" s="5"/>
      <c r="S36" s="1"/>
      <c r="T36" s="1"/>
    </row>
    <row r="37" spans="18:20" ht="18">
      <c r="R37" s="5"/>
      <c r="S37" s="1"/>
      <c r="T37" s="1"/>
    </row>
    <row r="38" spans="18:20" ht="18">
      <c r="R38" s="5"/>
      <c r="S38" s="1"/>
      <c r="T38" s="1"/>
    </row>
    <row r="39" spans="18:20" ht="18">
      <c r="R39" s="5"/>
      <c r="S39" s="1"/>
      <c r="T39" s="1"/>
    </row>
    <row r="40" spans="18:20" ht="18">
      <c r="R40" s="5"/>
      <c r="S40" s="1"/>
      <c r="T40" s="1"/>
    </row>
    <row r="41" spans="18:20" ht="18">
      <c r="R41" s="5"/>
      <c r="S41" s="1"/>
      <c r="T41" s="1"/>
    </row>
    <row r="42" spans="18:20" ht="18">
      <c r="R42" s="6"/>
      <c r="S42" s="1"/>
      <c r="T42" s="1"/>
    </row>
    <row r="43" spans="18:20" ht="18">
      <c r="R43" s="7"/>
      <c r="S43" s="2"/>
      <c r="T43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B12" sqref="B12:E12"/>
    </sheetView>
  </sheetViews>
  <sheetFormatPr defaultColWidth="8.8515625" defaultRowHeight="12.75"/>
  <cols>
    <col min="1" max="1" width="24.28125" style="0" customWidth="1"/>
    <col min="2" max="2" width="11.00390625" style="0" bestFit="1" customWidth="1"/>
    <col min="3" max="3" width="11.00390625" style="0" customWidth="1"/>
    <col min="4" max="4" width="11.7109375" style="9" bestFit="1" customWidth="1"/>
    <col min="5" max="6" width="11.7109375" style="9" customWidth="1"/>
    <col min="7" max="7" width="11.7109375" style="0" customWidth="1"/>
    <col min="8" max="8" width="11.7109375" style="9" bestFit="1" customWidth="1"/>
    <col min="9" max="9" width="10.140625" style="9" customWidth="1"/>
    <col min="10" max="17" width="10.8515625" style="0" customWidth="1"/>
  </cols>
  <sheetData>
    <row r="1" spans="1:17" s="16" customFormat="1" ht="13.5" thickBot="1">
      <c r="A1" s="52" t="s">
        <v>91</v>
      </c>
      <c r="B1" s="32" t="s">
        <v>178</v>
      </c>
      <c r="C1" s="162" t="s">
        <v>177</v>
      </c>
      <c r="D1" s="93" t="s">
        <v>171</v>
      </c>
      <c r="E1" s="165">
        <v>44287</v>
      </c>
      <c r="F1" s="132">
        <v>43922</v>
      </c>
      <c r="G1" s="132">
        <v>43556</v>
      </c>
      <c r="H1" s="132">
        <v>43191</v>
      </c>
      <c r="I1" s="33">
        <v>42826</v>
      </c>
      <c r="J1" s="33">
        <v>42461</v>
      </c>
      <c r="K1" s="33">
        <v>42095</v>
      </c>
      <c r="L1" s="33">
        <v>41730</v>
      </c>
      <c r="M1" s="33">
        <v>41365</v>
      </c>
      <c r="N1" s="33">
        <v>41000</v>
      </c>
      <c r="O1" s="33">
        <v>40634</v>
      </c>
      <c r="P1" s="33">
        <v>40269</v>
      </c>
      <c r="Q1" s="50">
        <v>39904</v>
      </c>
    </row>
    <row r="2" spans="1:17" ht="12.75">
      <c r="A2" s="53" t="s">
        <v>9</v>
      </c>
      <c r="B2" s="152"/>
      <c r="C2" s="127"/>
      <c r="D2" s="133"/>
      <c r="E2" s="137"/>
      <c r="F2" s="133"/>
      <c r="G2" s="133"/>
      <c r="H2" s="81"/>
      <c r="I2" s="81"/>
      <c r="J2" s="81"/>
      <c r="K2" s="81"/>
      <c r="L2" s="81"/>
      <c r="M2" s="81"/>
      <c r="N2" s="81"/>
      <c r="O2" s="81"/>
      <c r="P2" s="81"/>
      <c r="Q2" s="83"/>
    </row>
    <row r="3" spans="1:17" ht="12.75">
      <c r="A3" s="53" t="s">
        <v>149</v>
      </c>
      <c r="B3" s="152"/>
      <c r="C3" s="127"/>
      <c r="D3" s="133"/>
      <c r="E3" s="137"/>
      <c r="F3" s="133"/>
      <c r="G3" s="133"/>
      <c r="H3" s="81"/>
      <c r="I3" s="81"/>
      <c r="J3" s="81"/>
      <c r="K3" s="81"/>
      <c r="L3" s="81"/>
      <c r="M3" s="81"/>
      <c r="N3" s="81"/>
      <c r="O3" s="81"/>
      <c r="P3" s="81"/>
      <c r="Q3" s="83"/>
    </row>
    <row r="4" spans="1:17" ht="12.75">
      <c r="A4" s="53" t="s">
        <v>27</v>
      </c>
      <c r="B4" s="152"/>
      <c r="C4" s="127"/>
      <c r="D4" s="133"/>
      <c r="E4" s="137"/>
      <c r="F4" s="133"/>
      <c r="G4" s="133"/>
      <c r="H4" s="81"/>
      <c r="I4" s="81"/>
      <c r="J4" s="81"/>
      <c r="K4" s="81"/>
      <c r="L4" s="81"/>
      <c r="M4" s="81"/>
      <c r="N4" s="81"/>
      <c r="O4" s="81"/>
      <c r="P4" s="81"/>
      <c r="Q4" s="83"/>
    </row>
    <row r="5" spans="1:17" ht="12.75">
      <c r="A5" s="53" t="s">
        <v>26</v>
      </c>
      <c r="B5" s="152"/>
      <c r="C5" s="127"/>
      <c r="D5" s="133"/>
      <c r="E5" s="137"/>
      <c r="F5" s="133"/>
      <c r="G5" s="133"/>
      <c r="H5" s="81"/>
      <c r="I5" s="81"/>
      <c r="J5" s="81"/>
      <c r="K5" s="81"/>
      <c r="L5" s="81"/>
      <c r="M5" s="81"/>
      <c r="N5" s="81"/>
      <c r="O5" s="81"/>
      <c r="P5" s="81"/>
      <c r="Q5" s="83"/>
    </row>
    <row r="6" spans="1:17" ht="12.75">
      <c r="A6" s="53" t="s">
        <v>19</v>
      </c>
      <c r="B6" s="152"/>
      <c r="C6" s="127"/>
      <c r="D6" s="133"/>
      <c r="E6" s="137"/>
      <c r="F6" s="133"/>
      <c r="G6" s="133"/>
      <c r="H6" s="81"/>
      <c r="I6" s="81"/>
      <c r="J6" s="81"/>
      <c r="K6" s="81"/>
      <c r="L6" s="81"/>
      <c r="M6" s="81"/>
      <c r="N6" s="81"/>
      <c r="O6" s="81"/>
      <c r="P6" s="81"/>
      <c r="Q6" s="83"/>
    </row>
    <row r="7" spans="1:17" ht="12.75">
      <c r="A7" s="53" t="s">
        <v>88</v>
      </c>
      <c r="B7" s="152"/>
      <c r="C7" s="127"/>
      <c r="D7" s="133"/>
      <c r="E7" s="137"/>
      <c r="F7" s="133"/>
      <c r="G7" s="133"/>
      <c r="H7" s="81"/>
      <c r="I7" s="81"/>
      <c r="J7" s="81"/>
      <c r="K7" s="81"/>
      <c r="L7" s="81"/>
      <c r="M7" s="81"/>
      <c r="N7" s="81"/>
      <c r="O7" s="81"/>
      <c r="P7" s="81"/>
      <c r="Q7" s="83"/>
    </row>
    <row r="8" spans="1:17" ht="13.5" thickBot="1">
      <c r="A8" s="53" t="s">
        <v>6</v>
      </c>
      <c r="B8" s="152"/>
      <c r="C8" s="127"/>
      <c r="D8" s="133"/>
      <c r="E8" s="137"/>
      <c r="F8" s="133"/>
      <c r="G8" s="133"/>
      <c r="H8" s="81"/>
      <c r="I8" s="81"/>
      <c r="J8" s="81"/>
      <c r="K8" s="81"/>
      <c r="L8" s="81"/>
      <c r="M8" s="81"/>
      <c r="N8" s="81"/>
      <c r="O8" s="81"/>
      <c r="P8" s="81"/>
      <c r="Q8" s="83"/>
    </row>
    <row r="9" spans="1:17" ht="13.5" thickBot="1">
      <c r="A9" s="52" t="s">
        <v>92</v>
      </c>
      <c r="B9" s="153"/>
      <c r="C9" s="154"/>
      <c r="D9" s="134"/>
      <c r="E9" s="138"/>
      <c r="F9" s="134"/>
      <c r="G9" s="134"/>
      <c r="H9" s="103"/>
      <c r="I9" s="103"/>
      <c r="J9" s="103"/>
      <c r="K9" s="103"/>
      <c r="L9" s="103"/>
      <c r="M9" s="103"/>
      <c r="N9" s="103"/>
      <c r="O9" s="103"/>
      <c r="P9" s="103"/>
      <c r="Q9" s="108"/>
    </row>
    <row r="10" spans="7:17" ht="12.75">
      <c r="G10" s="9"/>
      <c r="J10" s="9"/>
      <c r="K10" s="9"/>
      <c r="L10" s="9"/>
      <c r="M10" s="9"/>
      <c r="N10" s="9"/>
      <c r="O10" s="9"/>
      <c r="P10" s="9"/>
      <c r="Q10" s="9"/>
    </row>
    <row r="11" spans="2:17" ht="13.5" thickBot="1">
      <c r="B11" s="3"/>
      <c r="C11" s="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7" ht="13.5" thickBot="1">
      <c r="A12" s="62" t="s">
        <v>91</v>
      </c>
      <c r="B12" s="32" t="s">
        <v>178</v>
      </c>
      <c r="C12" s="162" t="s">
        <v>177</v>
      </c>
      <c r="D12" s="93" t="s">
        <v>171</v>
      </c>
      <c r="E12" s="165">
        <v>44287</v>
      </c>
      <c r="F12" s="132">
        <v>43922</v>
      </c>
      <c r="G12" s="132">
        <v>43556</v>
      </c>
      <c r="H12" s="132">
        <v>43191</v>
      </c>
      <c r="I12" s="33">
        <v>42826</v>
      </c>
      <c r="J12" s="119">
        <v>42461</v>
      </c>
      <c r="K12" s="119">
        <v>42095</v>
      </c>
      <c r="L12" s="119">
        <v>41730</v>
      </c>
      <c r="M12" s="119">
        <v>41365</v>
      </c>
      <c r="N12" s="119">
        <v>41000</v>
      </c>
      <c r="O12" s="119">
        <v>40634</v>
      </c>
      <c r="P12" s="119">
        <v>40269</v>
      </c>
      <c r="Q12" s="120">
        <v>39904</v>
      </c>
    </row>
    <row r="13" spans="1:17" ht="13.5" thickBot="1">
      <c r="A13" s="64" t="s">
        <v>147</v>
      </c>
      <c r="B13" s="171"/>
      <c r="C13" s="144"/>
      <c r="D13" s="135"/>
      <c r="E13" s="150"/>
      <c r="F13" s="135"/>
      <c r="G13" s="155">
        <v>24870</v>
      </c>
      <c r="H13" s="86"/>
      <c r="I13" s="86"/>
      <c r="J13" s="86"/>
      <c r="K13" s="86"/>
      <c r="L13" s="86"/>
      <c r="M13" s="86"/>
      <c r="N13" s="86"/>
      <c r="O13" s="86">
        <v>7940</v>
      </c>
      <c r="P13" s="86"/>
      <c r="Q13" s="88"/>
    </row>
    <row r="14" spans="1:17" ht="13.5" thickBot="1">
      <c r="A14" s="62" t="s">
        <v>92</v>
      </c>
      <c r="B14" s="107"/>
      <c r="C14" s="146"/>
      <c r="D14" s="136"/>
      <c r="E14" s="151"/>
      <c r="F14" s="136"/>
      <c r="G14" s="103">
        <v>24870</v>
      </c>
      <c r="H14" s="99"/>
      <c r="I14" s="99"/>
      <c r="J14" s="99"/>
      <c r="K14" s="99"/>
      <c r="L14" s="99"/>
      <c r="M14" s="99"/>
      <c r="N14" s="99"/>
      <c r="O14" s="99">
        <f>SUM(O13:O13)</f>
        <v>7940</v>
      </c>
      <c r="P14" s="99"/>
      <c r="Q14" s="113"/>
    </row>
    <row r="15" ht="12.75">
      <c r="A15" s="3" t="s">
        <v>163</v>
      </c>
    </row>
    <row r="17" s="9" customFormat="1" ht="12.75"/>
    <row r="18" s="9" customFormat="1" ht="12.75"/>
    <row r="19" s="9" customFormat="1" ht="12.75"/>
    <row r="20" spans="4:9" s="16" customFormat="1" ht="12.75">
      <c r="D20" s="12"/>
      <c r="E20" s="12"/>
      <c r="F20" s="12"/>
      <c r="H20" s="12"/>
      <c r="I20" s="12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E26" sqref="E26"/>
    </sheetView>
  </sheetViews>
  <sheetFormatPr defaultColWidth="8.8515625" defaultRowHeight="12.75"/>
  <cols>
    <col min="1" max="1" width="29.140625" style="0" customWidth="1"/>
    <col min="2" max="2" width="10.8515625" style="0" customWidth="1"/>
    <col min="3" max="3" width="11.7109375" style="0" bestFit="1" customWidth="1"/>
    <col min="4" max="4" width="11.7109375" style="9" bestFit="1" customWidth="1"/>
    <col min="5" max="7" width="11.7109375" style="9" customWidth="1"/>
    <col min="8" max="8" width="11.8515625" style="9" customWidth="1"/>
    <col min="9" max="9" width="10.8515625" style="0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32" t="s">
        <v>178</v>
      </c>
      <c r="C1" s="162" t="s">
        <v>177</v>
      </c>
      <c r="D1" s="93" t="s">
        <v>171</v>
      </c>
      <c r="E1" s="165">
        <v>44287</v>
      </c>
      <c r="F1" s="132">
        <v>43922</v>
      </c>
      <c r="G1" s="132">
        <v>43556</v>
      </c>
      <c r="H1" s="132">
        <v>43191</v>
      </c>
      <c r="I1" s="33">
        <v>42826</v>
      </c>
      <c r="J1" s="33">
        <v>42461</v>
      </c>
      <c r="K1" s="33">
        <v>42095</v>
      </c>
      <c r="L1" s="33">
        <v>41730</v>
      </c>
      <c r="M1" s="33">
        <v>41365</v>
      </c>
      <c r="N1" s="33">
        <v>41000</v>
      </c>
      <c r="O1" s="33">
        <v>40634</v>
      </c>
      <c r="P1" s="33">
        <v>40269</v>
      </c>
      <c r="Q1" s="33">
        <v>39904</v>
      </c>
      <c r="R1" s="33">
        <v>39539</v>
      </c>
      <c r="S1" s="34">
        <v>39173</v>
      </c>
    </row>
    <row r="2" spans="1:19" ht="12.75">
      <c r="A2" s="27" t="s">
        <v>108</v>
      </c>
      <c r="B2" s="35">
        <f>(E2-F2)/F2</f>
        <v>-0.26479356536816867</v>
      </c>
      <c r="C2" s="140">
        <f>E2-'[1]Spain'!E2</f>
        <v>-3956.4256924287256</v>
      </c>
      <c r="D2" s="13">
        <f>F2-'[1]Spain'!F2</f>
        <v>-3723.4723032054208</v>
      </c>
      <c r="E2" s="122">
        <v>9280.882044707083</v>
      </c>
      <c r="F2" s="13">
        <v>12623.504919886429</v>
      </c>
      <c r="G2" s="13">
        <v>13685</v>
      </c>
      <c r="H2" s="13">
        <v>8049</v>
      </c>
      <c r="I2" s="13">
        <v>12353.476822938994</v>
      </c>
      <c r="J2" s="13">
        <v>9159.922107248069</v>
      </c>
      <c r="K2" s="13">
        <v>6593.449425442075</v>
      </c>
      <c r="L2" s="13">
        <v>9089.708825431735</v>
      </c>
      <c r="M2" s="13">
        <v>2973.3180716023885</v>
      </c>
      <c r="N2" s="13">
        <v>4926.964178903646</v>
      </c>
      <c r="O2" s="13">
        <v>4965</v>
      </c>
      <c r="P2" s="13">
        <v>3662.856026374148</v>
      </c>
      <c r="Q2" s="13">
        <v>5371.919638945884</v>
      </c>
      <c r="R2" s="13">
        <v>5907</v>
      </c>
      <c r="S2" s="37">
        <v>1714</v>
      </c>
    </row>
    <row r="3" spans="1:19" ht="12.75">
      <c r="A3" s="27" t="s">
        <v>109</v>
      </c>
      <c r="B3" s="35">
        <f aca="true" t="shared" si="0" ref="B3:B8">(E3-F3)/F3</f>
        <v>0.5045989800559291</v>
      </c>
      <c r="C3" s="140">
        <f>E3-'[1]Spain'!E3</f>
        <v>-3178.2314099810906</v>
      </c>
      <c r="D3" s="13">
        <f>F3-'[1]Spain'!F3</f>
        <v>-2246.0300537873854</v>
      </c>
      <c r="E3" s="122">
        <v>793.0350302812388</v>
      </c>
      <c r="F3" s="13">
        <v>527.0740182555222</v>
      </c>
      <c r="G3" s="13">
        <v>1886</v>
      </c>
      <c r="H3" s="13">
        <v>411</v>
      </c>
      <c r="I3" s="13">
        <v>1843.6643367313832</v>
      </c>
      <c r="J3" s="13">
        <v>168.6396309084158</v>
      </c>
      <c r="K3" s="13">
        <v>1874.4850692532573</v>
      </c>
      <c r="L3" s="13">
        <v>86.66677273702581</v>
      </c>
      <c r="M3" s="13">
        <v>0</v>
      </c>
      <c r="N3" s="13">
        <v>39.72805657792925</v>
      </c>
      <c r="O3" s="13">
        <v>632</v>
      </c>
      <c r="P3" s="13">
        <v>461.9049465443202</v>
      </c>
      <c r="Q3" s="13">
        <v>1071.934335712263</v>
      </c>
      <c r="R3" s="13">
        <v>1103</v>
      </c>
      <c r="S3" s="37">
        <v>251</v>
      </c>
    </row>
    <row r="4" spans="1:19" ht="12.75">
      <c r="A4" s="27" t="s">
        <v>110</v>
      </c>
      <c r="B4" s="35">
        <f t="shared" si="0"/>
        <v>-0.4758976267595798</v>
      </c>
      <c r="C4" s="140">
        <f>E4-'[1]Spain'!E4</f>
        <v>-10888.394198984104</v>
      </c>
      <c r="D4" s="13">
        <f>F4-'[1]Spain'!F4</f>
        <v>-25228.77891421043</v>
      </c>
      <c r="E4" s="122">
        <v>51263.47566237733</v>
      </c>
      <c r="F4" s="13">
        <v>97811.95102289942</v>
      </c>
      <c r="G4" s="13">
        <v>69063</v>
      </c>
      <c r="H4" s="13">
        <v>59446</v>
      </c>
      <c r="I4" s="13">
        <v>90766.98311930777</v>
      </c>
      <c r="J4" s="13">
        <v>59720.765304653556</v>
      </c>
      <c r="K4" s="13">
        <v>76319.57176494876</v>
      </c>
      <c r="L4" s="13">
        <v>68690.55497093197</v>
      </c>
      <c r="M4" s="13">
        <v>42646.57763352951</v>
      </c>
      <c r="N4" s="13">
        <v>76693.33218499599</v>
      </c>
      <c r="O4" s="13">
        <v>70768</v>
      </c>
      <c r="P4" s="13">
        <v>58498.11555600195</v>
      </c>
      <c r="Q4" s="13">
        <v>82998.66990314763</v>
      </c>
      <c r="R4" s="13">
        <v>60475</v>
      </c>
      <c r="S4" s="37">
        <v>53537</v>
      </c>
    </row>
    <row r="5" spans="1:23" ht="12.75">
      <c r="A5" s="27" t="s">
        <v>17</v>
      </c>
      <c r="B5" s="35">
        <f t="shared" si="0"/>
        <v>-0.18478219891831615</v>
      </c>
      <c r="C5" s="140">
        <f>E5-'[1]Spain'!E5</f>
        <v>-2080.9800512486836</v>
      </c>
      <c r="D5" s="13">
        <f>F5-'[1]Spain'!F5</f>
        <v>-3347.7053125431994</v>
      </c>
      <c r="E5" s="122">
        <v>10382.906314375665</v>
      </c>
      <c r="F5" s="13">
        <v>12736.358676906897</v>
      </c>
      <c r="G5" s="13">
        <v>11527</v>
      </c>
      <c r="H5" s="13">
        <v>8934</v>
      </c>
      <c r="I5" s="13">
        <v>8954.282822777006</v>
      </c>
      <c r="J5" s="13">
        <v>8960.211513953782</v>
      </c>
      <c r="K5" s="13">
        <v>6313.416613197603</v>
      </c>
      <c r="L5" s="13">
        <v>5480.989324880955</v>
      </c>
      <c r="M5" s="13">
        <v>3725.997530405541</v>
      </c>
      <c r="N5" s="13">
        <v>4575.648982926135</v>
      </c>
      <c r="O5" s="13">
        <v>1087</v>
      </c>
      <c r="P5" s="13">
        <v>4224.7489778415165</v>
      </c>
      <c r="Q5" s="13">
        <v>3163.582341418088</v>
      </c>
      <c r="R5" s="13">
        <v>1418</v>
      </c>
      <c r="S5" s="37">
        <v>569</v>
      </c>
      <c r="V5" s="13"/>
      <c r="W5" s="46"/>
    </row>
    <row r="6" spans="1:23" ht="12.75">
      <c r="A6" s="29" t="s">
        <v>19</v>
      </c>
      <c r="B6" s="35">
        <f t="shared" si="0"/>
        <v>-0.3807573198434828</v>
      </c>
      <c r="C6" s="140">
        <f>E6-'[1]Spain'!E6</f>
        <v>-1443.2957922446067</v>
      </c>
      <c r="D6" s="13">
        <f>F6-'[1]Spain'!F6</f>
        <v>-1878.470485903803</v>
      </c>
      <c r="E6" s="122">
        <v>7302.594794517977</v>
      </c>
      <c r="F6" s="13">
        <v>11792.783392566229</v>
      </c>
      <c r="G6" s="13">
        <v>9761</v>
      </c>
      <c r="H6" s="13">
        <v>6980</v>
      </c>
      <c r="I6" s="94">
        <v>6543.329791352571</v>
      </c>
      <c r="J6" s="94">
        <v>7914.970731326313</v>
      </c>
      <c r="K6" s="94">
        <v>5781.734009554548</v>
      </c>
      <c r="L6" s="94">
        <v>2622.2080576154544</v>
      </c>
      <c r="M6" s="94">
        <v>2131.904835374042</v>
      </c>
      <c r="N6" s="94">
        <v>4635.085114430857</v>
      </c>
      <c r="O6" s="94">
        <v>2448</v>
      </c>
      <c r="P6" s="94">
        <v>4197.223772308148</v>
      </c>
      <c r="Q6" s="94">
        <v>10313.316592710129</v>
      </c>
      <c r="R6" s="13">
        <v>4891</v>
      </c>
      <c r="S6" s="37">
        <v>5836</v>
      </c>
      <c r="V6" s="13"/>
      <c r="W6" s="46"/>
    </row>
    <row r="7" spans="1:23" ht="13.5" thickBot="1">
      <c r="A7" s="28" t="s">
        <v>59</v>
      </c>
      <c r="B7" s="35">
        <f t="shared" si="0"/>
        <v>-0.19980574594660216</v>
      </c>
      <c r="C7" s="140">
        <f>E7-'[1]Spain'!E7</f>
        <v>-3470.290000000001</v>
      </c>
      <c r="D7" s="13">
        <f>F7-'[1]Spain'!F7</f>
        <v>-4040.51</v>
      </c>
      <c r="E7" s="122">
        <v>9425</v>
      </c>
      <c r="F7" s="13">
        <v>11778.39</v>
      </c>
      <c r="G7" s="13">
        <v>5692</v>
      </c>
      <c r="H7" s="13">
        <v>4670</v>
      </c>
      <c r="I7" s="94">
        <v>5290</v>
      </c>
      <c r="J7" s="94">
        <v>4437.1</v>
      </c>
      <c r="K7" s="94">
        <v>4218.118</v>
      </c>
      <c r="L7" s="94">
        <v>3902.134</v>
      </c>
      <c r="M7" s="94">
        <v>2607</v>
      </c>
      <c r="N7" s="94">
        <v>5184.59</v>
      </c>
      <c r="O7" s="94">
        <v>2766</v>
      </c>
      <c r="P7" s="94">
        <v>3768</v>
      </c>
      <c r="Q7" s="94">
        <v>3368</v>
      </c>
      <c r="R7" s="13">
        <v>2552</v>
      </c>
      <c r="S7" s="37">
        <v>3062</v>
      </c>
      <c r="V7" s="13"/>
      <c r="W7" s="46"/>
    </row>
    <row r="8" spans="1:23" ht="13.5" thickBot="1">
      <c r="A8" s="147" t="s">
        <v>23</v>
      </c>
      <c r="B8" s="156">
        <f t="shared" si="0"/>
        <v>-0.3994170123461154</v>
      </c>
      <c r="C8" s="167">
        <f>E8-'[1]Spain'!E8</f>
        <v>-25017.617144887205</v>
      </c>
      <c r="D8" s="103">
        <f>F8-'[1]Spain'!F8</f>
        <v>-40464.96706965027</v>
      </c>
      <c r="E8" s="160">
        <f>SUM(E2:E7)</f>
        <v>88447.89384625929</v>
      </c>
      <c r="F8" s="103">
        <f>SUM(F2:F7)</f>
        <v>147270.06203051447</v>
      </c>
      <c r="G8" s="103">
        <f>SUM(G2:G7)</f>
        <v>111614</v>
      </c>
      <c r="H8" s="103">
        <f aca="true" t="shared" si="1" ref="H8:M8">SUM(H2:H7)</f>
        <v>88490</v>
      </c>
      <c r="I8" s="103">
        <f t="shared" si="1"/>
        <v>125751.73689310774</v>
      </c>
      <c r="J8" s="103">
        <f t="shared" si="1"/>
        <v>90361.60928809014</v>
      </c>
      <c r="K8" s="103">
        <f t="shared" si="1"/>
        <v>101100.77488239626</v>
      </c>
      <c r="L8" s="103">
        <f t="shared" si="1"/>
        <v>89872.26195159715</v>
      </c>
      <c r="M8" s="103">
        <f t="shared" si="1"/>
        <v>54084.79807091148</v>
      </c>
      <c r="N8" s="103">
        <f aca="true" t="shared" si="2" ref="N8:S8">SUM(N2:N7)</f>
        <v>96055.34851783456</v>
      </c>
      <c r="O8" s="103">
        <f t="shared" si="2"/>
        <v>82666</v>
      </c>
      <c r="P8" s="103">
        <f t="shared" si="2"/>
        <v>74812.84927907008</v>
      </c>
      <c r="Q8" s="103">
        <f t="shared" si="2"/>
        <v>106287.422811934</v>
      </c>
      <c r="R8" s="103">
        <f t="shared" si="2"/>
        <v>76346</v>
      </c>
      <c r="S8" s="148">
        <f t="shared" si="2"/>
        <v>64969</v>
      </c>
      <c r="V8" s="13"/>
      <c r="W8" s="46"/>
    </row>
    <row r="9" spans="2:23" s="9" customFormat="1" ht="12.75">
      <c r="B9" s="44"/>
      <c r="C9" s="44"/>
      <c r="D9" s="44"/>
      <c r="E9" s="44"/>
      <c r="F9" s="44"/>
      <c r="G9" s="44"/>
      <c r="H9" s="44"/>
      <c r="I9" s="12"/>
      <c r="J9" s="12"/>
      <c r="K9" s="12"/>
      <c r="L9" s="12"/>
      <c r="M9" s="12"/>
      <c r="N9" s="12"/>
      <c r="O9" s="12"/>
      <c r="P9" s="12"/>
      <c r="Q9" s="12"/>
      <c r="V9" s="13"/>
      <c r="W9" s="46"/>
    </row>
    <row r="10" spans="2:23" s="9" customFormat="1" ht="13.5" thickBot="1">
      <c r="B10" s="44"/>
      <c r="C10" s="44"/>
      <c r="D10" s="44"/>
      <c r="E10" s="44"/>
      <c r="F10" s="44"/>
      <c r="G10" s="44"/>
      <c r="H10" s="44"/>
      <c r="I10" s="12"/>
      <c r="J10" s="12"/>
      <c r="K10" s="12"/>
      <c r="L10" s="12"/>
      <c r="M10" s="12"/>
      <c r="N10" s="12"/>
      <c r="O10" s="12"/>
      <c r="P10" s="12"/>
      <c r="Q10" s="12"/>
      <c r="V10" s="12"/>
      <c r="W10" s="12"/>
    </row>
    <row r="11" spans="1:19" s="16" customFormat="1" ht="13.5" thickBot="1">
      <c r="A11" s="31" t="s">
        <v>25</v>
      </c>
      <c r="B11" s="32" t="s">
        <v>178</v>
      </c>
      <c r="C11" s="162" t="s">
        <v>177</v>
      </c>
      <c r="D11" s="93" t="s">
        <v>171</v>
      </c>
      <c r="E11" s="165">
        <v>44287</v>
      </c>
      <c r="F11" s="132">
        <v>43922</v>
      </c>
      <c r="G11" s="132">
        <v>43556</v>
      </c>
      <c r="H11" s="132">
        <v>43191</v>
      </c>
      <c r="I11" s="33">
        <v>42826</v>
      </c>
      <c r="J11" s="33">
        <v>42461</v>
      </c>
      <c r="K11" s="33">
        <v>42095</v>
      </c>
      <c r="L11" s="33">
        <v>41730</v>
      </c>
      <c r="M11" s="33">
        <v>41365</v>
      </c>
      <c r="N11" s="33">
        <v>41000</v>
      </c>
      <c r="O11" s="33">
        <v>40634</v>
      </c>
      <c r="P11" s="33">
        <v>40269</v>
      </c>
      <c r="Q11" s="33">
        <v>39904</v>
      </c>
      <c r="R11" s="33">
        <v>39539</v>
      </c>
      <c r="S11" s="34">
        <v>39173</v>
      </c>
    </row>
    <row r="12" spans="1:23" ht="12.75">
      <c r="A12" s="27" t="s">
        <v>38</v>
      </c>
      <c r="B12" s="35">
        <f aca="true" t="shared" si="3" ref="B12:B17">(E12-F12)/F12</f>
        <v>-0.029405623518132334</v>
      </c>
      <c r="C12" s="140">
        <f>E12-'[1]Spain'!E12</f>
        <v>-600.5018967474025</v>
      </c>
      <c r="D12" s="13">
        <f>F12-'[1]Spain'!F12</f>
        <v>-875.455441580263</v>
      </c>
      <c r="E12" s="122">
        <v>839</v>
      </c>
      <c r="F12" s="13">
        <v>864.4187730008695</v>
      </c>
      <c r="G12" s="13">
        <v>612</v>
      </c>
      <c r="H12" s="13">
        <v>916</v>
      </c>
      <c r="I12" s="13">
        <v>985.7821236553427</v>
      </c>
      <c r="J12" s="13">
        <v>372.6934439260891</v>
      </c>
      <c r="K12" s="13">
        <v>585.4961048423876</v>
      </c>
      <c r="L12" s="13">
        <v>2521.915100076145</v>
      </c>
      <c r="M12" s="13">
        <v>62.54136214165181</v>
      </c>
      <c r="N12" s="13">
        <v>3179.966075352717</v>
      </c>
      <c r="O12" s="13">
        <v>2263</v>
      </c>
      <c r="P12" s="13">
        <v>1451.426480970579</v>
      </c>
      <c r="Q12" s="13">
        <v>894.486321737664</v>
      </c>
      <c r="R12" s="13">
        <v>642</v>
      </c>
      <c r="S12" s="37">
        <v>3281</v>
      </c>
      <c r="V12" s="16"/>
      <c r="W12" s="16"/>
    </row>
    <row r="13" spans="1:23" ht="12.75">
      <c r="A13" s="27" t="s">
        <v>39</v>
      </c>
      <c r="B13" s="35">
        <f t="shared" si="3"/>
        <v>3.123895314317921</v>
      </c>
      <c r="C13" s="140">
        <f>E13-'[1]Spain'!E13</f>
        <v>-1126.7569462095985</v>
      </c>
      <c r="D13" s="13">
        <f>F13-'[1]Spain'!F13</f>
        <v>-1201.7634726222282</v>
      </c>
      <c r="E13" s="122">
        <v>2304.635547135468</v>
      </c>
      <c r="F13" s="13">
        <v>558.8491878379913</v>
      </c>
      <c r="G13" s="13">
        <v>1653</v>
      </c>
      <c r="H13" s="13">
        <v>3346</v>
      </c>
      <c r="I13" s="13">
        <v>1542.234650417612</v>
      </c>
      <c r="J13" s="13">
        <v>1859.3620256859326</v>
      </c>
      <c r="K13" s="13">
        <v>4275.040658072148</v>
      </c>
      <c r="L13" s="13">
        <v>3904.734051373893</v>
      </c>
      <c r="M13" s="13">
        <v>1873.002115138647</v>
      </c>
      <c r="N13" s="13">
        <v>4672.49398312916</v>
      </c>
      <c r="O13" s="13">
        <v>7701</v>
      </c>
      <c r="P13" s="13">
        <v>6311.930972154586</v>
      </c>
      <c r="Q13" s="13">
        <v>2045.5221628081351</v>
      </c>
      <c r="R13" s="13">
        <v>12074</v>
      </c>
      <c r="S13" s="37">
        <v>5483</v>
      </c>
      <c r="V13" s="13"/>
      <c r="W13" s="46"/>
    </row>
    <row r="14" spans="1:23" ht="12.75">
      <c r="A14" s="27" t="s">
        <v>7</v>
      </c>
      <c r="B14" s="35">
        <f t="shared" si="3"/>
        <v>-0.18032347846258123</v>
      </c>
      <c r="C14" s="140">
        <f>E14-'[1]Spain'!E14</f>
        <v>-8829.63326338732</v>
      </c>
      <c r="D14" s="13">
        <f>F14-'[1]Spain'!F14</f>
        <v>-10604.89278145555</v>
      </c>
      <c r="E14" s="122">
        <v>21710.487739542765</v>
      </c>
      <c r="F14" s="13">
        <v>26486.65317242671</v>
      </c>
      <c r="G14" s="13">
        <v>23562</v>
      </c>
      <c r="H14" s="13">
        <v>28418</v>
      </c>
      <c r="I14" s="13">
        <v>19933.04275900482</v>
      </c>
      <c r="J14" s="13">
        <v>27608.174026550005</v>
      </c>
      <c r="K14" s="13">
        <v>29678.28978692643</v>
      </c>
      <c r="L14" s="13">
        <v>32867.32747931607</v>
      </c>
      <c r="M14" s="13">
        <v>12547.502709195298</v>
      </c>
      <c r="N14" s="13">
        <v>49291.278797500425</v>
      </c>
      <c r="O14" s="13">
        <v>40262</v>
      </c>
      <c r="P14" s="13">
        <v>26033.99484409105</v>
      </c>
      <c r="Q14" s="13">
        <v>32472.782969568874</v>
      </c>
      <c r="R14" s="13">
        <v>19524</v>
      </c>
      <c r="S14" s="37">
        <v>29727</v>
      </c>
      <c r="V14" s="13"/>
      <c r="W14" s="46"/>
    </row>
    <row r="15" spans="1:23" ht="12.75">
      <c r="A15" s="27" t="s">
        <v>111</v>
      </c>
      <c r="B15" s="35">
        <f t="shared" si="3"/>
        <v>-1</v>
      </c>
      <c r="C15" s="140">
        <f>E15-'[1]Spain'!E15</f>
        <v>0</v>
      </c>
      <c r="D15" s="13">
        <f>F15-'[1]Spain'!F15</f>
        <v>-0.011638617897027581</v>
      </c>
      <c r="E15" s="122">
        <v>0</v>
      </c>
      <c r="F15" s="13">
        <v>1.1347652449601837</v>
      </c>
      <c r="G15" s="13"/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37">
        <v>0</v>
      </c>
      <c r="V15" s="13"/>
      <c r="W15" s="46"/>
    </row>
    <row r="16" spans="1:23" ht="13.5" thickBot="1">
      <c r="A16" s="27" t="s">
        <v>59</v>
      </c>
      <c r="B16" s="35">
        <f t="shared" si="3"/>
        <v>-0.0068063656769957355</v>
      </c>
      <c r="C16" s="140">
        <f>E16-'[1]Spain'!E16</f>
        <v>-574.4251515341675</v>
      </c>
      <c r="D16" s="13">
        <f>F16-'[1]Spain'!F16</f>
        <v>-648.4679023064392</v>
      </c>
      <c r="E16" s="122">
        <v>551</v>
      </c>
      <c r="F16" s="13">
        <v>554.7760083818711</v>
      </c>
      <c r="G16" s="13">
        <v>571</v>
      </c>
      <c r="H16" s="13">
        <v>819</v>
      </c>
      <c r="I16" s="13">
        <v>710.6949393896897</v>
      </c>
      <c r="J16" s="13">
        <v>536.8043547485427</v>
      </c>
      <c r="K16" s="13">
        <v>404.006966867458</v>
      </c>
      <c r="L16" s="13">
        <v>1007.031010087787</v>
      </c>
      <c r="M16" s="13">
        <v>185.12830671637698</v>
      </c>
      <c r="N16" s="13">
        <v>1831.8213674782187</v>
      </c>
      <c r="O16" s="13">
        <v>754</v>
      </c>
      <c r="P16" s="13">
        <v>1379.4966621281749</v>
      </c>
      <c r="Q16" s="13">
        <v>793.9800349616656</v>
      </c>
      <c r="R16" s="13">
        <v>1851</v>
      </c>
      <c r="S16" s="37">
        <v>2391</v>
      </c>
      <c r="V16" s="13"/>
      <c r="W16" s="46"/>
    </row>
    <row r="17" spans="1:23" ht="13.5" thickBot="1">
      <c r="A17" s="31" t="s">
        <v>23</v>
      </c>
      <c r="B17" s="156">
        <f t="shared" si="3"/>
        <v>-0.10752219117380099</v>
      </c>
      <c r="C17" s="167">
        <f>E17-'[1]Spain'!E17</f>
        <v>-11131.31725787849</v>
      </c>
      <c r="D17" s="103">
        <f>F17-'[1]Spain'!F17</f>
        <v>-13330.591236582375</v>
      </c>
      <c r="E17" s="160">
        <f>SUM(E12:E16)</f>
        <v>25405.123286678234</v>
      </c>
      <c r="F17" s="103">
        <f>SUM(F12:F16)</f>
        <v>28465.831906892403</v>
      </c>
      <c r="G17" s="103">
        <f>SUM(G12:G16)</f>
        <v>26398</v>
      </c>
      <c r="H17" s="103">
        <f aca="true" t="shared" si="4" ref="H17:M17">SUM(H12:H16)</f>
        <v>33499</v>
      </c>
      <c r="I17" s="103">
        <f t="shared" si="4"/>
        <v>23171.754472467466</v>
      </c>
      <c r="J17" s="103">
        <f t="shared" si="4"/>
        <v>30377.03385091057</v>
      </c>
      <c r="K17" s="103">
        <f t="shared" si="4"/>
        <v>34942.83351670842</v>
      </c>
      <c r="L17" s="103">
        <f t="shared" si="4"/>
        <v>40301.007640853895</v>
      </c>
      <c r="M17" s="103">
        <f t="shared" si="4"/>
        <v>14668.174493191973</v>
      </c>
      <c r="N17" s="103">
        <f aca="true" t="shared" si="5" ref="N17:S17">SUM(N12:N16)</f>
        <v>58975.56022346052</v>
      </c>
      <c r="O17" s="103">
        <f t="shared" si="5"/>
        <v>50980</v>
      </c>
      <c r="P17" s="103">
        <f t="shared" si="5"/>
        <v>35176.848959344396</v>
      </c>
      <c r="Q17" s="103">
        <f t="shared" si="5"/>
        <v>36206.77148907634</v>
      </c>
      <c r="R17" s="103">
        <f t="shared" si="5"/>
        <v>34091</v>
      </c>
      <c r="S17" s="148">
        <f t="shared" si="5"/>
        <v>40882</v>
      </c>
      <c r="V17" s="13"/>
      <c r="W17" s="46"/>
    </row>
    <row r="18" spans="22:23" ht="12.75">
      <c r="V18" s="16"/>
      <c r="W18" s="16"/>
    </row>
    <row r="19" spans="22:23" ht="12.75">
      <c r="V19" s="16"/>
      <c r="W19" s="16"/>
    </row>
    <row r="20" spans="8:23" ht="13.5">
      <c r="H20" s="118"/>
      <c r="I20" s="118"/>
      <c r="V20" s="16"/>
      <c r="W20" s="16"/>
    </row>
    <row r="21" spans="8:9" ht="13.5">
      <c r="H21" s="118"/>
      <c r="I21" s="118"/>
    </row>
    <row r="22" spans="8:9" ht="13.5">
      <c r="H22" s="118"/>
      <c r="I22" s="118"/>
    </row>
    <row r="23" spans="8:9" ht="13.5">
      <c r="H23" s="118"/>
      <c r="I23" s="118"/>
    </row>
    <row r="24" spans="8:20" ht="18">
      <c r="H24" s="118"/>
      <c r="I24" s="118"/>
      <c r="R24" s="5"/>
      <c r="S24" s="1"/>
      <c r="T24" s="1"/>
    </row>
    <row r="25" spans="8:20" ht="18">
      <c r="H25" s="118"/>
      <c r="I25" s="117"/>
      <c r="R25" s="5"/>
      <c r="S25" s="1"/>
      <c r="T25" s="1"/>
    </row>
    <row r="26" spans="18:20" ht="18">
      <c r="R26" s="5"/>
      <c r="S26" s="1"/>
      <c r="T26" s="1"/>
    </row>
    <row r="27" spans="18:20" ht="18">
      <c r="R27" s="5"/>
      <c r="S27" s="1"/>
      <c r="T27" s="1"/>
    </row>
    <row r="28" spans="18:20" ht="18">
      <c r="R28" s="5"/>
      <c r="S28" s="1"/>
      <c r="T28" s="1"/>
    </row>
    <row r="29" spans="18:20" ht="18">
      <c r="R29" s="5"/>
      <c r="S29" s="1"/>
      <c r="T29" s="1"/>
    </row>
    <row r="30" spans="18:20" ht="18">
      <c r="R30" s="5"/>
      <c r="S30" s="1"/>
      <c r="T30" s="1"/>
    </row>
    <row r="31" spans="18:20" ht="18">
      <c r="R31" s="5"/>
      <c r="S31" s="1"/>
      <c r="T31" s="1"/>
    </row>
    <row r="32" spans="18:20" ht="18">
      <c r="R32" s="5"/>
      <c r="S32" s="1"/>
      <c r="T32" s="1"/>
    </row>
    <row r="33" spans="18:20" ht="18">
      <c r="R33" s="5"/>
      <c r="S33" s="1"/>
      <c r="T33" s="1"/>
    </row>
    <row r="34" spans="18:20" ht="18">
      <c r="R34" s="6"/>
      <c r="S34" s="1"/>
      <c r="T34" s="1"/>
    </row>
    <row r="35" spans="18:20" ht="18">
      <c r="R35" s="7"/>
      <c r="S35" s="2"/>
      <c r="T35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F31" sqref="F31"/>
    </sheetView>
  </sheetViews>
  <sheetFormatPr defaultColWidth="8.8515625" defaultRowHeight="12.75"/>
  <cols>
    <col min="1" max="1" width="29.140625" style="0" customWidth="1"/>
    <col min="2" max="2" width="10.8515625" style="0" customWidth="1"/>
    <col min="3" max="3" width="11.7109375" style="0" bestFit="1" customWidth="1"/>
    <col min="4" max="4" width="11.7109375" style="9" bestFit="1" customWidth="1"/>
    <col min="5" max="7" width="11.7109375" style="9" customWidth="1"/>
    <col min="8" max="8" width="12.00390625" style="9" customWidth="1"/>
    <col min="9" max="9" width="10.8515625" style="0" customWidth="1"/>
    <col min="10" max="17" width="10.140625" style="16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32" t="s">
        <v>178</v>
      </c>
      <c r="C1" s="162" t="s">
        <v>177</v>
      </c>
      <c r="D1" s="93" t="s">
        <v>171</v>
      </c>
      <c r="E1" s="165">
        <v>44287</v>
      </c>
      <c r="F1" s="132">
        <v>43922</v>
      </c>
      <c r="G1" s="132">
        <v>43556</v>
      </c>
      <c r="H1" s="132">
        <v>43191</v>
      </c>
      <c r="I1" s="33">
        <v>42826</v>
      </c>
      <c r="J1" s="33">
        <v>42461</v>
      </c>
      <c r="K1" s="33">
        <v>42095</v>
      </c>
      <c r="L1" s="33">
        <v>41730</v>
      </c>
      <c r="M1" s="33">
        <v>41365</v>
      </c>
      <c r="N1" s="33">
        <v>41000</v>
      </c>
      <c r="O1" s="33">
        <v>40634</v>
      </c>
      <c r="P1" s="33">
        <v>40269</v>
      </c>
      <c r="Q1" s="33">
        <v>39904</v>
      </c>
      <c r="R1" s="33">
        <v>39539</v>
      </c>
      <c r="S1" s="34">
        <v>39173</v>
      </c>
    </row>
    <row r="2" spans="1:19" ht="12.75">
      <c r="A2" s="27" t="s">
        <v>4</v>
      </c>
      <c r="B2" s="35"/>
      <c r="C2" s="140">
        <f>E2-'[1]Switzerland'!E2</f>
        <v>-4</v>
      </c>
      <c r="D2" s="13">
        <f>F2-'[1]Switzerland'!F2</f>
        <v>-3</v>
      </c>
      <c r="E2" s="122">
        <v>0</v>
      </c>
      <c r="F2" s="13">
        <v>0</v>
      </c>
      <c r="G2" s="13">
        <v>5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1</v>
      </c>
      <c r="N2" s="13">
        <v>0</v>
      </c>
      <c r="O2" s="13">
        <v>0</v>
      </c>
      <c r="P2" s="13">
        <v>0</v>
      </c>
      <c r="Q2" s="13">
        <v>22</v>
      </c>
      <c r="R2" s="13">
        <v>47</v>
      </c>
      <c r="S2" s="37">
        <v>5</v>
      </c>
    </row>
    <row r="3" spans="1:19" ht="12.75">
      <c r="A3" s="27" t="s">
        <v>11</v>
      </c>
      <c r="B3" s="35">
        <f aca="true" t="shared" si="0" ref="B3:B19">(E3-F3)/F3</f>
        <v>0.2260795935647756</v>
      </c>
      <c r="C3" s="140">
        <f>E3-'[1]Switzerland'!E3</f>
        <v>-1447</v>
      </c>
      <c r="D3" s="13">
        <f>F3-'[1]Switzerland'!F3</f>
        <v>-1608</v>
      </c>
      <c r="E3" s="122">
        <v>4344</v>
      </c>
      <c r="F3" s="13">
        <v>3543</v>
      </c>
      <c r="G3" s="13">
        <f>5845+155</f>
        <v>6000</v>
      </c>
      <c r="H3" s="13">
        <v>1314</v>
      </c>
      <c r="I3" s="13">
        <v>4280</v>
      </c>
      <c r="J3" s="13">
        <v>4272</v>
      </c>
      <c r="K3" s="13">
        <v>4092</v>
      </c>
      <c r="L3" s="13">
        <v>4612</v>
      </c>
      <c r="M3" s="13">
        <v>3844</v>
      </c>
      <c r="N3" s="13">
        <v>4250</v>
      </c>
      <c r="O3" s="13">
        <v>3159</v>
      </c>
      <c r="P3" s="13">
        <v>3252</v>
      </c>
      <c r="Q3" s="13">
        <v>2311</v>
      </c>
      <c r="R3" s="13">
        <v>1764</v>
      </c>
      <c r="S3" s="37">
        <v>1242</v>
      </c>
    </row>
    <row r="4" spans="1:19" ht="12.75">
      <c r="A4" s="27" t="s">
        <v>5</v>
      </c>
      <c r="B4" s="35"/>
      <c r="C4" s="140">
        <f>E4-'[1]Switzerland'!E4</f>
        <v>0</v>
      </c>
      <c r="D4" s="13">
        <f>F4-'[1]Switzerland'!F4</f>
        <v>0</v>
      </c>
      <c r="E4" s="122">
        <v>0</v>
      </c>
      <c r="F4" s="13">
        <v>0</v>
      </c>
      <c r="G4" s="13"/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37">
        <v>0</v>
      </c>
    </row>
    <row r="5" spans="1:19" ht="12.75">
      <c r="A5" s="27" t="s">
        <v>2</v>
      </c>
      <c r="B5" s="35"/>
      <c r="C5" s="140">
        <f>E5-'[1]Switzerland'!E5</f>
        <v>0</v>
      </c>
      <c r="D5" s="13">
        <f>F5-'[1]Switzerland'!F5</f>
        <v>0</v>
      </c>
      <c r="E5" s="122">
        <v>0</v>
      </c>
      <c r="F5" s="13">
        <v>0</v>
      </c>
      <c r="G5" s="13"/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37</v>
      </c>
      <c r="O5" s="13">
        <v>0</v>
      </c>
      <c r="P5" s="13">
        <v>0</v>
      </c>
      <c r="Q5" s="13">
        <v>0</v>
      </c>
      <c r="R5" s="13">
        <v>0</v>
      </c>
      <c r="S5" s="37">
        <v>0</v>
      </c>
    </row>
    <row r="6" spans="1:19" ht="12.75">
      <c r="A6" s="27" t="s">
        <v>9</v>
      </c>
      <c r="B6" s="35">
        <f t="shared" si="0"/>
        <v>0.11212293682413205</v>
      </c>
      <c r="C6" s="140">
        <f>E6-'[1]Switzerland'!E6</f>
        <v>-3304</v>
      </c>
      <c r="D6" s="13">
        <f>F6-'[1]Switzerland'!F6</f>
        <v>-3135</v>
      </c>
      <c r="E6" s="122">
        <v>11724</v>
      </c>
      <c r="F6" s="13">
        <v>10542</v>
      </c>
      <c r="G6" s="13">
        <f>10794+434</f>
        <v>11228</v>
      </c>
      <c r="H6" s="13">
        <v>3807</v>
      </c>
      <c r="I6" s="13">
        <v>6880</v>
      </c>
      <c r="J6" s="13">
        <v>9363</v>
      </c>
      <c r="K6" s="13">
        <v>7627</v>
      </c>
      <c r="L6" s="13">
        <v>8538</v>
      </c>
      <c r="M6" s="13">
        <v>7726</v>
      </c>
      <c r="N6" s="13">
        <v>10932</v>
      </c>
      <c r="O6" s="13">
        <v>8194</v>
      </c>
      <c r="P6" s="13">
        <v>8556</v>
      </c>
      <c r="Q6" s="13">
        <v>4808</v>
      </c>
      <c r="R6" s="13">
        <v>8099</v>
      </c>
      <c r="S6" s="37">
        <v>4572</v>
      </c>
    </row>
    <row r="7" spans="1:19" ht="12.75">
      <c r="A7" s="27" t="s">
        <v>112</v>
      </c>
      <c r="B7" s="35">
        <f t="shared" si="0"/>
        <v>0.3333333333333333</v>
      </c>
      <c r="C7" s="140">
        <f>E7-'[1]Switzerland'!E7</f>
        <v>-24</v>
      </c>
      <c r="D7" s="13">
        <f>F7-'[1]Switzerland'!F7</f>
        <v>-11</v>
      </c>
      <c r="E7" s="122">
        <v>20</v>
      </c>
      <c r="F7" s="13">
        <v>15</v>
      </c>
      <c r="G7" s="13">
        <f>67+31</f>
        <v>98</v>
      </c>
      <c r="H7" s="13">
        <v>4</v>
      </c>
      <c r="I7" s="13">
        <v>57</v>
      </c>
      <c r="J7" s="13">
        <v>65</v>
      </c>
      <c r="K7" s="13">
        <v>28</v>
      </c>
      <c r="L7" s="13">
        <v>85</v>
      </c>
      <c r="M7" s="13">
        <v>90</v>
      </c>
      <c r="N7" s="13">
        <v>43</v>
      </c>
      <c r="O7" s="13">
        <v>386</v>
      </c>
      <c r="P7" s="13">
        <v>50</v>
      </c>
      <c r="Q7" s="13">
        <v>371</v>
      </c>
      <c r="R7" s="13">
        <v>220</v>
      </c>
      <c r="S7" s="37">
        <v>347</v>
      </c>
    </row>
    <row r="8" spans="1:19" ht="12.75">
      <c r="A8" s="29" t="s">
        <v>3</v>
      </c>
      <c r="B8" s="35">
        <f t="shared" si="0"/>
        <v>-0.11258652352027122</v>
      </c>
      <c r="C8" s="140">
        <f>E8-'[1]Switzerland'!E8</f>
        <v>-1520</v>
      </c>
      <c r="D8" s="13">
        <f>F8-'[1]Switzerland'!F8</f>
        <v>-1736</v>
      </c>
      <c r="E8" s="122">
        <v>6282</v>
      </c>
      <c r="F8" s="13">
        <v>7079</v>
      </c>
      <c r="G8" s="13">
        <f>6788+105</f>
        <v>6893</v>
      </c>
      <c r="H8" s="13">
        <v>5526</v>
      </c>
      <c r="I8" s="94">
        <v>9466</v>
      </c>
      <c r="J8" s="94">
        <v>7619</v>
      </c>
      <c r="K8" s="94">
        <v>9069</v>
      </c>
      <c r="L8" s="94">
        <v>7018</v>
      </c>
      <c r="M8" s="94">
        <v>9996</v>
      </c>
      <c r="N8" s="94">
        <v>9736</v>
      </c>
      <c r="O8" s="94">
        <v>11300</v>
      </c>
      <c r="P8" s="94">
        <v>12055</v>
      </c>
      <c r="Q8" s="94">
        <v>12645</v>
      </c>
      <c r="R8" s="13">
        <v>12858</v>
      </c>
      <c r="S8" s="37">
        <v>13293</v>
      </c>
    </row>
    <row r="9" spans="1:19" ht="12.75">
      <c r="A9" s="29" t="s">
        <v>17</v>
      </c>
      <c r="B9" s="35">
        <f t="shared" si="0"/>
        <v>0.37142857142857144</v>
      </c>
      <c r="C9" s="140">
        <f>E9-'[1]Switzerland'!E9</f>
        <v>-61</v>
      </c>
      <c r="D9" s="13">
        <f>F9-'[1]Switzerland'!F9</f>
        <v>-92</v>
      </c>
      <c r="E9" s="122">
        <v>48</v>
      </c>
      <c r="F9" s="13">
        <v>35</v>
      </c>
      <c r="G9" s="13">
        <v>80</v>
      </c>
      <c r="H9" s="13">
        <v>38</v>
      </c>
      <c r="I9" s="94">
        <v>57</v>
      </c>
      <c r="J9" s="94">
        <v>18</v>
      </c>
      <c r="K9" s="94">
        <v>10</v>
      </c>
      <c r="L9" s="94">
        <v>9</v>
      </c>
      <c r="M9" s="94">
        <v>29</v>
      </c>
      <c r="N9" s="94">
        <v>0</v>
      </c>
      <c r="O9" s="94">
        <v>43</v>
      </c>
      <c r="P9" s="94">
        <v>5</v>
      </c>
      <c r="Q9" s="94">
        <v>64</v>
      </c>
      <c r="R9" s="13">
        <v>0</v>
      </c>
      <c r="S9" s="37">
        <v>1</v>
      </c>
    </row>
    <row r="10" spans="1:19" ht="12.75">
      <c r="A10" s="29" t="s">
        <v>10</v>
      </c>
      <c r="B10" s="35">
        <f t="shared" si="0"/>
        <v>2.298076923076923</v>
      </c>
      <c r="C10" s="140">
        <f>E10-'[1]Switzerland'!E10</f>
        <v>-66</v>
      </c>
      <c r="D10" s="13">
        <f>F10-'[1]Switzerland'!F10</f>
        <v>-94</v>
      </c>
      <c r="E10" s="122">
        <v>343</v>
      </c>
      <c r="F10" s="13">
        <v>104</v>
      </c>
      <c r="G10" s="13">
        <v>266</v>
      </c>
      <c r="H10" s="13">
        <v>14</v>
      </c>
      <c r="I10" s="94">
        <v>312</v>
      </c>
      <c r="J10" s="94">
        <v>750</v>
      </c>
      <c r="K10" s="94">
        <v>738</v>
      </c>
      <c r="L10" s="94">
        <v>1245</v>
      </c>
      <c r="M10" s="94">
        <v>1153</v>
      </c>
      <c r="N10" s="94">
        <v>678</v>
      </c>
      <c r="O10" s="94">
        <v>2227</v>
      </c>
      <c r="P10" s="94">
        <v>1405</v>
      </c>
      <c r="Q10" s="94">
        <v>2019</v>
      </c>
      <c r="R10" s="13">
        <v>973</v>
      </c>
      <c r="S10" s="37">
        <v>2344</v>
      </c>
    </row>
    <row r="11" spans="1:19" ht="12.75">
      <c r="A11" s="29" t="s">
        <v>27</v>
      </c>
      <c r="B11" s="35">
        <f t="shared" si="0"/>
        <v>-0.42857142857142855</v>
      </c>
      <c r="C11" s="140">
        <f>E11-'[1]Switzerland'!E11</f>
        <v>-159</v>
      </c>
      <c r="D11" s="13">
        <f>F11-'[1]Switzerland'!F11</f>
        <v>-445</v>
      </c>
      <c r="E11" s="122">
        <v>796</v>
      </c>
      <c r="F11" s="13">
        <v>1393</v>
      </c>
      <c r="G11" s="13">
        <f>1467+94</f>
        <v>1561</v>
      </c>
      <c r="H11" s="13">
        <v>0</v>
      </c>
      <c r="I11" s="94">
        <v>2238</v>
      </c>
      <c r="J11" s="94">
        <v>1604</v>
      </c>
      <c r="K11" s="94">
        <v>2012</v>
      </c>
      <c r="L11" s="94">
        <v>2077</v>
      </c>
      <c r="M11" s="94">
        <v>1978</v>
      </c>
      <c r="N11" s="94">
        <v>2607</v>
      </c>
      <c r="O11" s="94">
        <v>1807</v>
      </c>
      <c r="P11" s="94">
        <v>2309</v>
      </c>
      <c r="Q11" s="94">
        <v>2392</v>
      </c>
      <c r="R11" s="13">
        <v>2394</v>
      </c>
      <c r="S11" s="37">
        <v>2634</v>
      </c>
    </row>
    <row r="12" spans="1:19" ht="12.75">
      <c r="A12" s="29" t="s">
        <v>113</v>
      </c>
      <c r="B12" s="35"/>
      <c r="C12" s="140">
        <f>E12-'[1]Switzerland'!E12</f>
        <v>-69</v>
      </c>
      <c r="D12" s="13">
        <f>F12-'[1]Switzerland'!F12</f>
        <v>0</v>
      </c>
      <c r="E12" s="122">
        <v>36</v>
      </c>
      <c r="F12" s="13">
        <v>0</v>
      </c>
      <c r="G12" s="13">
        <v>181</v>
      </c>
      <c r="H12" s="13">
        <v>0</v>
      </c>
      <c r="I12" s="94">
        <v>50</v>
      </c>
      <c r="J12" s="94">
        <v>13</v>
      </c>
      <c r="K12" s="94">
        <v>75</v>
      </c>
      <c r="L12" s="94">
        <v>104</v>
      </c>
      <c r="M12" s="94">
        <v>15</v>
      </c>
      <c r="N12" s="94">
        <v>36</v>
      </c>
      <c r="O12" s="94">
        <v>46</v>
      </c>
      <c r="P12" s="94">
        <v>0</v>
      </c>
      <c r="Q12" s="94">
        <v>10</v>
      </c>
      <c r="R12" s="13">
        <v>11</v>
      </c>
      <c r="S12" s="37">
        <v>79</v>
      </c>
    </row>
    <row r="13" spans="1:19" ht="12.75">
      <c r="A13" s="29" t="s">
        <v>114</v>
      </c>
      <c r="B13" s="35">
        <f t="shared" si="0"/>
        <v>3.869565217391304</v>
      </c>
      <c r="C13" s="140">
        <f>E13-'[1]Switzerland'!E13</f>
        <v>-27</v>
      </c>
      <c r="D13" s="13">
        <f>F13-'[1]Switzerland'!F13</f>
        <v>-4</v>
      </c>
      <c r="E13" s="122">
        <v>112</v>
      </c>
      <c r="F13" s="13">
        <v>23</v>
      </c>
      <c r="G13" s="13">
        <v>269</v>
      </c>
      <c r="H13" s="13">
        <v>64</v>
      </c>
      <c r="I13" s="94">
        <v>173</v>
      </c>
      <c r="J13" s="94">
        <v>337</v>
      </c>
      <c r="K13" s="94">
        <v>596</v>
      </c>
      <c r="L13" s="94">
        <v>572</v>
      </c>
      <c r="M13" s="94">
        <v>1120</v>
      </c>
      <c r="N13" s="94">
        <v>1419</v>
      </c>
      <c r="O13" s="94">
        <v>3192</v>
      </c>
      <c r="P13" s="94">
        <v>3445</v>
      </c>
      <c r="Q13" s="94">
        <v>2879</v>
      </c>
      <c r="R13" s="13">
        <v>3816</v>
      </c>
      <c r="S13" s="37">
        <v>5457</v>
      </c>
    </row>
    <row r="14" spans="1:19" ht="12.75">
      <c r="A14" s="29" t="s">
        <v>13</v>
      </c>
      <c r="B14" s="35">
        <f t="shared" si="0"/>
        <v>17.692307692307693</v>
      </c>
      <c r="C14" s="140">
        <f>E14-'[1]Switzerland'!E14</f>
        <v>-159</v>
      </c>
      <c r="D14" s="13">
        <f>F14-'[1]Switzerland'!F14</f>
        <v>-15</v>
      </c>
      <c r="E14" s="122">
        <v>243</v>
      </c>
      <c r="F14" s="13">
        <v>13</v>
      </c>
      <c r="G14" s="13">
        <v>102</v>
      </c>
      <c r="H14" s="13">
        <v>0</v>
      </c>
      <c r="I14" s="94">
        <v>111</v>
      </c>
      <c r="J14" s="94">
        <v>97</v>
      </c>
      <c r="K14" s="94">
        <v>23</v>
      </c>
      <c r="L14" s="94">
        <v>261</v>
      </c>
      <c r="M14" s="94">
        <v>437</v>
      </c>
      <c r="N14" s="94">
        <v>598</v>
      </c>
      <c r="O14" s="94">
        <v>503</v>
      </c>
      <c r="P14" s="94">
        <v>445</v>
      </c>
      <c r="Q14" s="94">
        <v>450</v>
      </c>
      <c r="R14" s="13">
        <v>376</v>
      </c>
      <c r="S14" s="37">
        <v>319</v>
      </c>
    </row>
    <row r="15" spans="1:19" ht="12.75">
      <c r="A15" s="29" t="s">
        <v>115</v>
      </c>
      <c r="B15" s="35"/>
      <c r="C15" s="140">
        <f>E15-'[1]Switzerland'!E15</f>
        <v>-16</v>
      </c>
      <c r="D15" s="13">
        <f>F15-'[1]Switzerland'!F15</f>
        <v>0</v>
      </c>
      <c r="E15" s="122">
        <v>7</v>
      </c>
      <c r="F15" s="13">
        <v>0</v>
      </c>
      <c r="G15" s="13">
        <v>10</v>
      </c>
      <c r="H15" s="13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13">
        <v>0</v>
      </c>
      <c r="S15" s="37">
        <v>0</v>
      </c>
    </row>
    <row r="16" spans="1:19" ht="12.75">
      <c r="A16" s="29" t="s">
        <v>96</v>
      </c>
      <c r="B16" s="35">
        <f t="shared" si="0"/>
        <v>12.142857142857142</v>
      </c>
      <c r="C16" s="140">
        <f>E16-'[1]Switzerland'!E16</f>
        <v>-64</v>
      </c>
      <c r="D16" s="13">
        <f>F16-'[1]Switzerland'!F16</f>
        <v>-15</v>
      </c>
      <c r="E16" s="122">
        <v>92</v>
      </c>
      <c r="F16" s="13">
        <v>7</v>
      </c>
      <c r="G16" s="13">
        <v>260</v>
      </c>
      <c r="H16" s="13">
        <v>5</v>
      </c>
      <c r="I16" s="94">
        <v>113</v>
      </c>
      <c r="J16" s="94">
        <v>217</v>
      </c>
      <c r="K16" s="94">
        <v>172</v>
      </c>
      <c r="L16" s="94">
        <v>562</v>
      </c>
      <c r="M16" s="94">
        <v>378</v>
      </c>
      <c r="N16" s="94">
        <v>772</v>
      </c>
      <c r="O16" s="94">
        <v>448</v>
      </c>
      <c r="P16" s="94">
        <v>565</v>
      </c>
      <c r="Q16" s="94">
        <v>286</v>
      </c>
      <c r="R16" s="13">
        <v>467</v>
      </c>
      <c r="S16" s="37">
        <v>331</v>
      </c>
    </row>
    <row r="17" spans="1:19" ht="12.75">
      <c r="A17" s="53" t="s">
        <v>87</v>
      </c>
      <c r="B17" s="35">
        <f t="shared" si="0"/>
        <v>0.11314512571680635</v>
      </c>
      <c r="C17" s="140">
        <f>E17-'[1]Switzerland'!E17</f>
        <v>-2336</v>
      </c>
      <c r="D17" s="13">
        <f>F17-'[1]Switzerland'!F17</f>
        <v>-1916</v>
      </c>
      <c r="E17" s="122">
        <v>5047</v>
      </c>
      <c r="F17" s="13">
        <v>4534</v>
      </c>
      <c r="G17" s="13">
        <f>6907+136</f>
        <v>7043</v>
      </c>
      <c r="H17" s="13">
        <v>2691</v>
      </c>
      <c r="I17" s="94">
        <v>4922</v>
      </c>
      <c r="J17" s="94">
        <v>5343</v>
      </c>
      <c r="K17" s="94">
        <v>6777</v>
      </c>
      <c r="L17" s="94">
        <v>5660</v>
      </c>
      <c r="M17" s="94">
        <v>3144</v>
      </c>
      <c r="N17" s="94">
        <v>3587</v>
      </c>
      <c r="O17" s="94">
        <v>1395</v>
      </c>
      <c r="P17" s="94">
        <f>99+197+1259</f>
        <v>1555</v>
      </c>
      <c r="Q17" s="94">
        <v>637</v>
      </c>
      <c r="R17" s="13">
        <v>320</v>
      </c>
      <c r="S17" s="37">
        <v>100</v>
      </c>
    </row>
    <row r="18" spans="1:19" ht="13.5" thickBot="1">
      <c r="A18" s="28" t="s">
        <v>59</v>
      </c>
      <c r="B18" s="35">
        <f t="shared" si="0"/>
        <v>0.8382352941176471</v>
      </c>
      <c r="C18" s="140">
        <f>E18-'[1]Switzerland'!E18</f>
        <v>-499</v>
      </c>
      <c r="D18" s="13">
        <f>F18-'[1]Switzerland'!F18</f>
        <v>-543</v>
      </c>
      <c r="E18" s="122">
        <v>2375</v>
      </c>
      <c r="F18" s="13">
        <v>1292</v>
      </c>
      <c r="G18" s="13">
        <f>219+395+428+38+2123+45</f>
        <v>3248</v>
      </c>
      <c r="H18" s="13">
        <f>48+234+101+61</f>
        <v>444</v>
      </c>
      <c r="I18" s="94">
        <v>2259</v>
      </c>
      <c r="J18" s="94">
        <v>684</v>
      </c>
      <c r="K18" s="94">
        <v>545</v>
      </c>
      <c r="L18" s="94">
        <v>601</v>
      </c>
      <c r="M18" s="94">
        <v>243</v>
      </c>
      <c r="N18" s="94">
        <v>392</v>
      </c>
      <c r="O18" s="94">
        <v>273</v>
      </c>
      <c r="P18" s="94">
        <v>440</v>
      </c>
      <c r="Q18" s="94">
        <v>301</v>
      </c>
      <c r="R18" s="13">
        <v>406</v>
      </c>
      <c r="S18" s="37">
        <v>318</v>
      </c>
    </row>
    <row r="19" spans="1:19" ht="13.5" thickBot="1">
      <c r="A19" s="147" t="s">
        <v>23</v>
      </c>
      <c r="B19" s="156">
        <f t="shared" si="0"/>
        <v>0.10108467459762072</v>
      </c>
      <c r="C19" s="167">
        <f>E19-'[1]Switzerland'!E19</f>
        <v>-9755</v>
      </c>
      <c r="D19" s="103">
        <f>F19-'[1]Switzerland'!F19</f>
        <v>-9617</v>
      </c>
      <c r="E19" s="160">
        <f>SUM(E2:E18)</f>
        <v>31469</v>
      </c>
      <c r="F19" s="103">
        <v>28580</v>
      </c>
      <c r="G19" s="103">
        <f>SUM(G2:G18)</f>
        <v>37244</v>
      </c>
      <c r="H19" s="103">
        <f aca="true" t="shared" si="1" ref="H19:M19">SUM(H2:H18)</f>
        <v>13907</v>
      </c>
      <c r="I19" s="103">
        <f t="shared" si="1"/>
        <v>30918</v>
      </c>
      <c r="J19" s="103">
        <f t="shared" si="1"/>
        <v>30382</v>
      </c>
      <c r="K19" s="103">
        <f t="shared" si="1"/>
        <v>31764</v>
      </c>
      <c r="L19" s="103">
        <f t="shared" si="1"/>
        <v>31344</v>
      </c>
      <c r="M19" s="103">
        <f t="shared" si="1"/>
        <v>30154</v>
      </c>
      <c r="N19" s="103">
        <f aca="true" t="shared" si="2" ref="N19:S19">SUM(N2:N18)</f>
        <v>35087</v>
      </c>
      <c r="O19" s="103">
        <f t="shared" si="2"/>
        <v>32973</v>
      </c>
      <c r="P19" s="103">
        <f t="shared" si="2"/>
        <v>34082</v>
      </c>
      <c r="Q19" s="103">
        <f t="shared" si="2"/>
        <v>29195</v>
      </c>
      <c r="R19" s="103">
        <f t="shared" si="2"/>
        <v>31751</v>
      </c>
      <c r="S19" s="148">
        <f t="shared" si="2"/>
        <v>31042</v>
      </c>
    </row>
    <row r="20" spans="2:17" s="9" customFormat="1" ht="12.75">
      <c r="B20" s="44"/>
      <c r="C20" s="44"/>
      <c r="D20" s="44"/>
      <c r="E20" s="44"/>
      <c r="F20" s="44"/>
      <c r="G20" s="44"/>
      <c r="H20" s="44"/>
      <c r="I20" s="12"/>
      <c r="J20" s="12"/>
      <c r="K20" s="12"/>
      <c r="L20" s="12"/>
      <c r="M20" s="12"/>
      <c r="N20" s="12"/>
      <c r="O20" s="12"/>
      <c r="P20" s="12"/>
      <c r="Q20" s="12"/>
    </row>
    <row r="21" spans="2:17" s="9" customFormat="1" ht="13.5" thickBot="1">
      <c r="B21" s="44"/>
      <c r="C21" s="44"/>
      <c r="D21" s="44"/>
      <c r="E21" s="44"/>
      <c r="F21" s="44"/>
      <c r="G21" s="44"/>
      <c r="H21" s="44"/>
      <c r="I21" s="12"/>
      <c r="J21" s="12"/>
      <c r="K21" s="12"/>
      <c r="L21" s="12"/>
      <c r="M21" s="12"/>
      <c r="N21" s="12"/>
      <c r="O21" s="12"/>
      <c r="P21" s="12"/>
      <c r="Q21" s="12"/>
    </row>
    <row r="22" spans="1:19" s="16" customFormat="1" ht="13.5" thickBot="1">
      <c r="A22" s="31" t="s">
        <v>25</v>
      </c>
      <c r="B22" s="32" t="s">
        <v>178</v>
      </c>
      <c r="C22" s="162" t="s">
        <v>177</v>
      </c>
      <c r="D22" s="93" t="s">
        <v>171</v>
      </c>
      <c r="E22" s="165">
        <v>44287</v>
      </c>
      <c r="F22" s="132">
        <v>43922</v>
      </c>
      <c r="G22" s="132">
        <v>43556</v>
      </c>
      <c r="H22" s="132">
        <v>43191</v>
      </c>
      <c r="I22" s="33">
        <v>42826</v>
      </c>
      <c r="J22" s="33">
        <v>42461</v>
      </c>
      <c r="K22" s="33">
        <v>42095</v>
      </c>
      <c r="L22" s="33">
        <v>41730</v>
      </c>
      <c r="M22" s="33">
        <v>41365</v>
      </c>
      <c r="N22" s="33">
        <v>41000</v>
      </c>
      <c r="O22" s="33">
        <v>40634</v>
      </c>
      <c r="P22" s="33">
        <v>40269</v>
      </c>
      <c r="Q22" s="33">
        <v>39904</v>
      </c>
      <c r="R22" s="33">
        <v>39539</v>
      </c>
      <c r="S22" s="34">
        <v>39173</v>
      </c>
    </row>
    <row r="23" spans="1:19" ht="12.75">
      <c r="A23" s="27" t="s">
        <v>116</v>
      </c>
      <c r="B23" s="35">
        <f aca="true" t="shared" si="3" ref="B23:B28">(E23-F23)/F23</f>
        <v>-0.34179357021996615</v>
      </c>
      <c r="C23" s="140">
        <f>E23-'[1]Switzerland'!E23</f>
        <v>-1338</v>
      </c>
      <c r="D23" s="13">
        <f>F23-'[1]Switzerland'!F23</f>
        <v>-1168</v>
      </c>
      <c r="E23" s="122">
        <v>1556</v>
      </c>
      <c r="F23" s="13">
        <v>2364</v>
      </c>
      <c r="G23" s="13">
        <v>1904</v>
      </c>
      <c r="H23" s="13">
        <v>0</v>
      </c>
      <c r="I23" s="13">
        <v>298</v>
      </c>
      <c r="J23" s="13">
        <v>233</v>
      </c>
      <c r="K23" s="13">
        <v>1422</v>
      </c>
      <c r="L23" s="13">
        <v>715</v>
      </c>
      <c r="M23" s="13">
        <v>26</v>
      </c>
      <c r="N23" s="13">
        <v>1148</v>
      </c>
      <c r="O23" s="13">
        <v>75</v>
      </c>
      <c r="P23" s="13">
        <v>714</v>
      </c>
      <c r="Q23" s="13">
        <v>0</v>
      </c>
      <c r="R23" s="13">
        <v>330</v>
      </c>
      <c r="S23" s="37">
        <v>11</v>
      </c>
    </row>
    <row r="24" spans="1:19" ht="12.75">
      <c r="A24" s="27" t="s">
        <v>7</v>
      </c>
      <c r="B24" s="35">
        <f t="shared" si="3"/>
        <v>-0.75</v>
      </c>
      <c r="C24" s="140">
        <f>E24-'[1]Switzerland'!E24</f>
        <v>-217</v>
      </c>
      <c r="D24" s="13">
        <f>F24-'[1]Switzerland'!F24</f>
        <v>-482</v>
      </c>
      <c r="E24" s="122">
        <v>10</v>
      </c>
      <c r="F24" s="13">
        <v>40</v>
      </c>
      <c r="G24" s="13">
        <v>24</v>
      </c>
      <c r="H24" s="13">
        <v>0</v>
      </c>
      <c r="I24" s="13">
        <v>64</v>
      </c>
      <c r="J24" s="13">
        <v>0</v>
      </c>
      <c r="K24" s="13">
        <v>47</v>
      </c>
      <c r="L24" s="13">
        <v>2</v>
      </c>
      <c r="M24" s="13">
        <v>0</v>
      </c>
      <c r="N24" s="13">
        <v>1030</v>
      </c>
      <c r="O24" s="13">
        <v>2</v>
      </c>
      <c r="P24" s="13">
        <v>542</v>
      </c>
      <c r="Q24" s="13">
        <v>0</v>
      </c>
      <c r="R24" s="13">
        <v>596</v>
      </c>
      <c r="S24" s="37">
        <v>3</v>
      </c>
    </row>
    <row r="25" spans="1:19" ht="12.75">
      <c r="A25" s="27" t="s">
        <v>117</v>
      </c>
      <c r="B25" s="35">
        <f t="shared" si="3"/>
        <v>0.4666666666666667</v>
      </c>
      <c r="C25" s="140">
        <f>E25-'[1]Switzerland'!E25</f>
        <v>-339</v>
      </c>
      <c r="D25" s="13">
        <f>F25-'[1]Switzerland'!F25</f>
        <v>-112</v>
      </c>
      <c r="E25" s="122">
        <v>22</v>
      </c>
      <c r="F25" s="13">
        <v>15</v>
      </c>
      <c r="G25" s="13">
        <v>6</v>
      </c>
      <c r="H25" s="13">
        <v>0</v>
      </c>
      <c r="I25" s="13">
        <v>20</v>
      </c>
      <c r="J25" s="13">
        <v>88</v>
      </c>
      <c r="K25" s="13">
        <v>55</v>
      </c>
      <c r="L25" s="13">
        <v>21</v>
      </c>
      <c r="M25" s="13">
        <v>0</v>
      </c>
      <c r="N25" s="13">
        <v>696</v>
      </c>
      <c r="O25" s="13">
        <v>0</v>
      </c>
      <c r="P25" s="13">
        <v>310</v>
      </c>
      <c r="Q25" s="13">
        <v>0</v>
      </c>
      <c r="R25" s="13">
        <v>725</v>
      </c>
      <c r="S25" s="37">
        <v>0</v>
      </c>
    </row>
    <row r="26" spans="1:19" ht="12.75">
      <c r="A26" s="53" t="s">
        <v>141</v>
      </c>
      <c r="B26" s="35">
        <f t="shared" si="3"/>
        <v>-1</v>
      </c>
      <c r="C26" s="140">
        <f>E26-'[1]Switzerland'!E26</f>
        <v>0</v>
      </c>
      <c r="D26" s="13">
        <f>F26-'[1]Switzerland'!F26</f>
        <v>-15</v>
      </c>
      <c r="E26" s="122">
        <v>0</v>
      </c>
      <c r="F26" s="13">
        <v>10</v>
      </c>
      <c r="G26" s="13"/>
      <c r="H26" s="13">
        <v>0</v>
      </c>
      <c r="I26" s="13">
        <v>0</v>
      </c>
      <c r="J26" s="13"/>
      <c r="K26" s="13"/>
      <c r="L26" s="13"/>
      <c r="M26" s="13"/>
      <c r="N26" s="13"/>
      <c r="O26" s="13"/>
      <c r="P26" s="13"/>
      <c r="Q26" s="13"/>
      <c r="R26" s="13"/>
      <c r="S26" s="37"/>
    </row>
    <row r="27" spans="1:19" ht="13.5" thickBot="1">
      <c r="A27" s="27" t="s">
        <v>59</v>
      </c>
      <c r="B27" s="35">
        <f t="shared" si="3"/>
        <v>0.5666666666666667</v>
      </c>
      <c r="C27" s="140">
        <f>E27-'[1]Switzerland'!E27</f>
        <v>-84</v>
      </c>
      <c r="D27" s="13">
        <f>F27-'[1]Switzerland'!F27</f>
        <v>-75</v>
      </c>
      <c r="E27" s="122">
        <v>47</v>
      </c>
      <c r="F27" s="13">
        <v>30</v>
      </c>
      <c r="G27" s="13">
        <v>80</v>
      </c>
      <c r="H27" s="13">
        <v>0</v>
      </c>
      <c r="I27" s="13">
        <v>45</v>
      </c>
      <c r="J27" s="13">
        <v>35</v>
      </c>
      <c r="K27" s="13">
        <v>97</v>
      </c>
      <c r="L27" s="13">
        <v>12</v>
      </c>
      <c r="M27" s="13">
        <v>2</v>
      </c>
      <c r="N27" s="13">
        <v>59</v>
      </c>
      <c r="O27" s="13">
        <v>2</v>
      </c>
      <c r="P27" s="13">
        <v>67</v>
      </c>
      <c r="Q27" s="13">
        <v>0</v>
      </c>
      <c r="R27" s="13">
        <v>105</v>
      </c>
      <c r="S27" s="37">
        <v>19</v>
      </c>
    </row>
    <row r="28" spans="1:19" ht="13.5" thickBot="1">
      <c r="A28" s="31" t="s">
        <v>23</v>
      </c>
      <c r="B28" s="156">
        <f t="shared" si="3"/>
        <v>-0.33509556730378204</v>
      </c>
      <c r="C28" s="167">
        <f>E28-'[1]Switzerland'!E28</f>
        <v>-1978</v>
      </c>
      <c r="D28" s="103">
        <f>F28-'[1]Switzerland'!F28</f>
        <v>-1852</v>
      </c>
      <c r="E28" s="160">
        <f>SUM(E23:E27)</f>
        <v>1635</v>
      </c>
      <c r="F28" s="103">
        <v>2459</v>
      </c>
      <c r="G28" s="103">
        <f>SUM(G23:G27)</f>
        <v>2014</v>
      </c>
      <c r="H28" s="103">
        <v>0</v>
      </c>
      <c r="I28" s="103">
        <f>SUM(I23:I27)</f>
        <v>427</v>
      </c>
      <c r="J28" s="103">
        <f>SUM(J23:J27)</f>
        <v>356</v>
      </c>
      <c r="K28" s="103">
        <f>SUM(K23:K27)</f>
        <v>1621</v>
      </c>
      <c r="L28" s="103">
        <f>SUM(L23:L27)</f>
        <v>750</v>
      </c>
      <c r="M28" s="103">
        <f>SUM(M23:M27)</f>
        <v>28</v>
      </c>
      <c r="N28" s="103">
        <f aca="true" t="shared" si="4" ref="N28:S28">SUM(N23:N27)</f>
        <v>2933</v>
      </c>
      <c r="O28" s="103">
        <f t="shared" si="4"/>
        <v>79</v>
      </c>
      <c r="P28" s="103">
        <f t="shared" si="4"/>
        <v>1633</v>
      </c>
      <c r="Q28" s="103">
        <f t="shared" si="4"/>
        <v>0</v>
      </c>
      <c r="R28" s="103">
        <f t="shared" si="4"/>
        <v>1756</v>
      </c>
      <c r="S28" s="148">
        <f t="shared" si="4"/>
        <v>33</v>
      </c>
    </row>
    <row r="35" spans="18:20" ht="18">
      <c r="R35" s="5"/>
      <c r="S35" s="1"/>
      <c r="T35" s="1"/>
    </row>
    <row r="36" spans="18:20" ht="18">
      <c r="R36" s="5"/>
      <c r="S36" s="1"/>
      <c r="T36" s="1"/>
    </row>
    <row r="37" spans="18:20" ht="18">
      <c r="R37" s="5"/>
      <c r="S37" s="1"/>
      <c r="T37" s="1"/>
    </row>
    <row r="38" spans="18:20" ht="18">
      <c r="R38" s="5"/>
      <c r="S38" s="1"/>
      <c r="T38" s="1"/>
    </row>
    <row r="39" spans="18:20" ht="18">
      <c r="R39" s="5"/>
      <c r="S39" s="1"/>
      <c r="T39" s="1"/>
    </row>
    <row r="40" spans="18:20" ht="18">
      <c r="R40" s="5"/>
      <c r="S40" s="1"/>
      <c r="T40" s="1"/>
    </row>
    <row r="41" spans="18:20" ht="18">
      <c r="R41" s="5"/>
      <c r="S41" s="1"/>
      <c r="T41" s="1"/>
    </row>
    <row r="42" spans="18:20" ht="18">
      <c r="R42" s="5"/>
      <c r="S42" s="1"/>
      <c r="T42" s="1"/>
    </row>
    <row r="43" spans="18:20" ht="18">
      <c r="R43" s="5"/>
      <c r="S43" s="1"/>
      <c r="T43" s="1"/>
    </row>
    <row r="44" spans="18:20" ht="18">
      <c r="R44" s="5"/>
      <c r="S44" s="1"/>
      <c r="T44" s="1"/>
    </row>
    <row r="45" spans="18:20" ht="18">
      <c r="R45" s="6"/>
      <c r="S45" s="1"/>
      <c r="T45" s="1"/>
    </row>
    <row r="46" spans="18:20" ht="18">
      <c r="R46" s="7"/>
      <c r="S46" s="2"/>
      <c r="T46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E23" sqref="E23"/>
    </sheetView>
  </sheetViews>
  <sheetFormatPr defaultColWidth="8.8515625" defaultRowHeight="12.75"/>
  <cols>
    <col min="1" max="1" width="29.140625" style="0" customWidth="1"/>
    <col min="2" max="2" width="10.8515625" style="0" customWidth="1"/>
    <col min="3" max="3" width="11.7109375" style="0" bestFit="1" customWidth="1"/>
    <col min="4" max="4" width="11.7109375" style="9" bestFit="1" customWidth="1"/>
    <col min="5" max="7" width="11.7109375" style="9" customWidth="1"/>
    <col min="8" max="8" width="11.140625" style="9" customWidth="1"/>
    <col min="9" max="9" width="10.8515625" style="0" customWidth="1"/>
    <col min="10" max="17" width="10.140625" style="12" bestFit="1" customWidth="1"/>
    <col min="18" max="19" width="10.140625" style="0" bestFit="1" customWidth="1"/>
    <col min="20" max="20" width="8.8515625" style="0" customWidth="1"/>
    <col min="21" max="21" width="11.00390625" style="0" customWidth="1"/>
  </cols>
  <sheetData>
    <row r="1" spans="1:19" s="16" customFormat="1" ht="13.5" thickBot="1">
      <c r="A1" s="31" t="s">
        <v>24</v>
      </c>
      <c r="B1" s="32" t="s">
        <v>178</v>
      </c>
      <c r="C1" s="162" t="s">
        <v>177</v>
      </c>
      <c r="D1" s="93" t="s">
        <v>171</v>
      </c>
      <c r="E1" s="165">
        <v>44287</v>
      </c>
      <c r="F1" s="132">
        <v>43922</v>
      </c>
      <c r="G1" s="132">
        <v>43556</v>
      </c>
      <c r="H1" s="132">
        <v>43191</v>
      </c>
      <c r="I1" s="33">
        <v>42826</v>
      </c>
      <c r="J1" s="33">
        <v>42461</v>
      </c>
      <c r="K1" s="33">
        <v>42095</v>
      </c>
      <c r="L1" s="33">
        <v>41730</v>
      </c>
      <c r="M1" s="33">
        <v>41365</v>
      </c>
      <c r="N1" s="33">
        <v>41000</v>
      </c>
      <c r="O1" s="33">
        <v>40634</v>
      </c>
      <c r="P1" s="33">
        <v>40269</v>
      </c>
      <c r="Q1" s="33">
        <v>39904</v>
      </c>
      <c r="R1" s="33">
        <v>39539</v>
      </c>
      <c r="S1" s="34">
        <v>39173</v>
      </c>
    </row>
    <row r="2" spans="1:19" ht="12.75">
      <c r="A2" s="27" t="s">
        <v>4</v>
      </c>
      <c r="B2" s="35">
        <f>(E2-F2)/F2</f>
        <v>-0.1450381679389313</v>
      </c>
      <c r="C2" s="140">
        <f>E2-'[1]Netherlands'!E2</f>
        <v>-529</v>
      </c>
      <c r="D2" s="13">
        <f>F2-'[1]Netherlands'!F2</f>
        <v>-1240</v>
      </c>
      <c r="E2" s="122">
        <v>112</v>
      </c>
      <c r="F2" s="13">
        <v>131</v>
      </c>
      <c r="G2" s="13">
        <v>913</v>
      </c>
      <c r="H2" s="13">
        <v>58</v>
      </c>
      <c r="I2" s="81">
        <v>1082</v>
      </c>
      <c r="J2" s="81">
        <v>2244</v>
      </c>
      <c r="K2" s="81">
        <v>2148</v>
      </c>
      <c r="L2" s="13">
        <v>1000</v>
      </c>
      <c r="M2" s="13">
        <v>0</v>
      </c>
      <c r="N2" s="13">
        <v>1000</v>
      </c>
      <c r="O2" s="13">
        <v>1000</v>
      </c>
      <c r="P2" s="13">
        <v>1000</v>
      </c>
      <c r="Q2" s="13">
        <v>5000</v>
      </c>
      <c r="R2" s="13">
        <v>1000</v>
      </c>
      <c r="S2" s="37">
        <v>4000</v>
      </c>
    </row>
    <row r="3" spans="1:19" ht="12.75">
      <c r="A3" s="27" t="s">
        <v>2</v>
      </c>
      <c r="B3" s="35">
        <f aca="true" t="shared" si="0" ref="B3:B8">(E3-F3)/F3</f>
        <v>-0.660271161141862</v>
      </c>
      <c r="C3" s="140">
        <f>E3-'[1]Netherlands'!E3</f>
        <v>-8849</v>
      </c>
      <c r="D3" s="13">
        <f>F3-'[1]Netherlands'!F3</f>
        <v>-13062</v>
      </c>
      <c r="E3" s="122">
        <v>10925</v>
      </c>
      <c r="F3" s="13">
        <v>32158</v>
      </c>
      <c r="G3" s="13">
        <v>16922</v>
      </c>
      <c r="H3" s="13">
        <v>12763</v>
      </c>
      <c r="I3" s="81">
        <v>28585</v>
      </c>
      <c r="J3" s="81">
        <v>32577</v>
      </c>
      <c r="K3" s="81">
        <v>36284</v>
      </c>
      <c r="L3" s="13">
        <v>28000</v>
      </c>
      <c r="M3" s="13">
        <v>21000</v>
      </c>
      <c r="N3" s="13">
        <v>35000</v>
      </c>
      <c r="O3" s="13">
        <v>22000</v>
      </c>
      <c r="P3" s="13">
        <v>37000</v>
      </c>
      <c r="Q3" s="13">
        <v>32000</v>
      </c>
      <c r="R3" s="13">
        <v>33000</v>
      </c>
      <c r="S3" s="37">
        <v>28000</v>
      </c>
    </row>
    <row r="4" spans="1:19" ht="12.75">
      <c r="A4" s="27" t="s">
        <v>3</v>
      </c>
      <c r="B4" s="35">
        <f t="shared" si="0"/>
        <v>-0.16782582400967644</v>
      </c>
      <c r="C4" s="140">
        <f>E4-'[1]Netherlands'!E4</f>
        <v>-249</v>
      </c>
      <c r="D4" s="13">
        <f>F4-'[1]Netherlands'!F4</f>
        <v>-591</v>
      </c>
      <c r="E4" s="122">
        <v>2752</v>
      </c>
      <c r="F4" s="13">
        <v>3307</v>
      </c>
      <c r="G4" s="13">
        <v>4511</v>
      </c>
      <c r="H4" s="13">
        <v>5054</v>
      </c>
      <c r="I4" s="81">
        <v>6566</v>
      </c>
      <c r="J4" s="81">
        <v>9155</v>
      </c>
      <c r="K4" s="81">
        <v>9508</v>
      </c>
      <c r="L4" s="13">
        <v>11000</v>
      </c>
      <c r="M4" s="13">
        <v>9000</v>
      </c>
      <c r="N4" s="13">
        <v>9000</v>
      </c>
      <c r="O4" s="13">
        <v>8000</v>
      </c>
      <c r="P4" s="13">
        <v>10000</v>
      </c>
      <c r="Q4" s="13">
        <v>12000</v>
      </c>
      <c r="R4" s="13">
        <v>11000</v>
      </c>
      <c r="S4" s="37">
        <v>12000</v>
      </c>
    </row>
    <row r="5" spans="1:19" ht="12.75">
      <c r="A5" s="29" t="s">
        <v>107</v>
      </c>
      <c r="B5" s="35">
        <f t="shared" si="0"/>
        <v>-0.15146768584944081</v>
      </c>
      <c r="C5" s="140">
        <f>E5-'[1]Netherlands'!E5</f>
        <v>-2982</v>
      </c>
      <c r="D5" s="13">
        <f>F5-'[1]Netherlands'!F5</f>
        <v>-4563</v>
      </c>
      <c r="E5" s="122">
        <v>27086</v>
      </c>
      <c r="F5" s="13">
        <v>31921</v>
      </c>
      <c r="G5" s="13">
        <v>32351</v>
      </c>
      <c r="H5" s="13">
        <v>25649</v>
      </c>
      <c r="I5" s="131">
        <v>47537</v>
      </c>
      <c r="J5" s="131">
        <v>45225</v>
      </c>
      <c r="K5" s="131">
        <v>50505</v>
      </c>
      <c r="L5" s="94">
        <v>49000</v>
      </c>
      <c r="M5" s="94">
        <v>42000</v>
      </c>
      <c r="N5" s="94">
        <v>73000</v>
      </c>
      <c r="O5" s="94">
        <v>41000</v>
      </c>
      <c r="P5" s="94">
        <v>66000</v>
      </c>
      <c r="Q5" s="94">
        <v>68000</v>
      </c>
      <c r="R5" s="13">
        <v>67000</v>
      </c>
      <c r="S5" s="37">
        <v>58000</v>
      </c>
    </row>
    <row r="6" spans="1:19" ht="12.75">
      <c r="A6" s="79" t="s">
        <v>134</v>
      </c>
      <c r="B6" s="35">
        <f t="shared" si="0"/>
        <v>-0.15826983169782358</v>
      </c>
      <c r="C6" s="140">
        <f>E6-'[1]Netherlands'!E6</f>
        <v>-4244</v>
      </c>
      <c r="D6" s="13">
        <f>F6-'[1]Netherlands'!F6</f>
        <v>-4426</v>
      </c>
      <c r="E6" s="122">
        <v>15354</v>
      </c>
      <c r="F6" s="13">
        <v>18241</v>
      </c>
      <c r="G6" s="13">
        <v>20060</v>
      </c>
      <c r="H6" s="13">
        <v>8478</v>
      </c>
      <c r="I6" s="131">
        <v>19933</v>
      </c>
      <c r="J6" s="131">
        <v>16061</v>
      </c>
      <c r="K6" s="131">
        <v>16145</v>
      </c>
      <c r="L6" s="94">
        <v>12000</v>
      </c>
      <c r="M6" s="94"/>
      <c r="N6" s="94"/>
      <c r="O6" s="94"/>
      <c r="P6" s="94"/>
      <c r="Q6" s="94"/>
      <c r="R6" s="13"/>
      <c r="S6" s="37"/>
    </row>
    <row r="7" spans="1:19" ht="13.5" thickBot="1">
      <c r="A7" s="29" t="s">
        <v>59</v>
      </c>
      <c r="B7" s="35">
        <f t="shared" si="0"/>
        <v>-0.07546628407460546</v>
      </c>
      <c r="C7" s="140">
        <f>E7-'[1]Netherlands'!E7</f>
        <v>-1988</v>
      </c>
      <c r="D7" s="13">
        <f>F7-'[1]Netherlands'!F7</f>
        <v>-1573</v>
      </c>
      <c r="E7" s="122">
        <v>3222</v>
      </c>
      <c r="F7" s="13">
        <v>3485</v>
      </c>
      <c r="G7" s="13">
        <v>3814</v>
      </c>
      <c r="H7" s="13">
        <v>3911</v>
      </c>
      <c r="I7" s="131">
        <v>4015</v>
      </c>
      <c r="J7" s="131">
        <v>3067</v>
      </c>
      <c r="K7" s="131">
        <v>4023</v>
      </c>
      <c r="L7" s="94">
        <v>5000</v>
      </c>
      <c r="M7" s="94">
        <v>12000</v>
      </c>
      <c r="N7" s="94">
        <v>14000</v>
      </c>
      <c r="O7" s="94">
        <v>13000</v>
      </c>
      <c r="P7" s="94">
        <v>11000</v>
      </c>
      <c r="Q7" s="94">
        <v>3000</v>
      </c>
      <c r="R7" s="13">
        <v>1000</v>
      </c>
      <c r="S7" s="37">
        <v>3000</v>
      </c>
    </row>
    <row r="8" spans="1:19" ht="13.5" thickBot="1">
      <c r="A8" s="147" t="s">
        <v>23</v>
      </c>
      <c r="B8" s="156">
        <f t="shared" si="0"/>
        <v>-0.33383010432190763</v>
      </c>
      <c r="C8" s="167">
        <f>E8-'[1]Netherlands'!E8</f>
        <v>-18841</v>
      </c>
      <c r="D8" s="103">
        <f>F8-'[1]Netherlands'!F8</f>
        <v>-25455</v>
      </c>
      <c r="E8" s="160">
        <f aca="true" t="shared" si="1" ref="E8:K8">SUM(E2:E7)</f>
        <v>59451</v>
      </c>
      <c r="F8" s="103">
        <f t="shared" si="1"/>
        <v>89243</v>
      </c>
      <c r="G8" s="103">
        <f t="shared" si="1"/>
        <v>78571</v>
      </c>
      <c r="H8" s="103">
        <f t="shared" si="1"/>
        <v>55913</v>
      </c>
      <c r="I8" s="103">
        <f t="shared" si="1"/>
        <v>107718</v>
      </c>
      <c r="J8" s="103">
        <f t="shared" si="1"/>
        <v>108329</v>
      </c>
      <c r="K8" s="103">
        <f t="shared" si="1"/>
        <v>118613</v>
      </c>
      <c r="L8" s="103">
        <f aca="true" t="shared" si="2" ref="L8:S8">SUM(L2:L7)</f>
        <v>106000</v>
      </c>
      <c r="M8" s="103">
        <f t="shared" si="2"/>
        <v>84000</v>
      </c>
      <c r="N8" s="103">
        <f t="shared" si="2"/>
        <v>132000</v>
      </c>
      <c r="O8" s="103">
        <f t="shared" si="2"/>
        <v>85000</v>
      </c>
      <c r="P8" s="103">
        <f t="shared" si="2"/>
        <v>125000</v>
      </c>
      <c r="Q8" s="103">
        <f t="shared" si="2"/>
        <v>120000</v>
      </c>
      <c r="R8" s="103">
        <f t="shared" si="2"/>
        <v>113000</v>
      </c>
      <c r="S8" s="148">
        <f t="shared" si="2"/>
        <v>105000</v>
      </c>
    </row>
    <row r="9" spans="2:17" s="9" customFormat="1" ht="12.75">
      <c r="B9" s="44"/>
      <c r="C9" s="44"/>
      <c r="D9" s="44"/>
      <c r="E9" s="44"/>
      <c r="F9" s="44"/>
      <c r="G9" s="44"/>
      <c r="H9" s="44"/>
      <c r="I9" s="44"/>
      <c r="J9" s="12"/>
      <c r="K9" s="12"/>
      <c r="L9" s="12"/>
      <c r="M9" s="12"/>
      <c r="N9" s="12"/>
      <c r="O9" s="12"/>
      <c r="P9" s="12"/>
      <c r="Q9" s="12"/>
    </row>
    <row r="10" spans="2:17" s="9" customFormat="1" ht="13.5" thickBot="1">
      <c r="B10" s="44"/>
      <c r="C10" s="44"/>
      <c r="D10" s="44"/>
      <c r="E10" s="44"/>
      <c r="F10" s="44"/>
      <c r="G10" s="44"/>
      <c r="H10" s="44"/>
      <c r="I10" s="44"/>
      <c r="J10" s="12"/>
      <c r="K10" s="12"/>
      <c r="L10" s="12"/>
      <c r="M10" s="12"/>
      <c r="N10" s="12"/>
      <c r="O10" s="12"/>
      <c r="P10" s="12"/>
      <c r="Q10" s="12"/>
    </row>
    <row r="11" spans="1:19" s="16" customFormat="1" ht="13.5" thickBot="1">
      <c r="A11" s="31" t="s">
        <v>25</v>
      </c>
      <c r="B11" s="32" t="s">
        <v>178</v>
      </c>
      <c r="C11" s="162" t="s">
        <v>177</v>
      </c>
      <c r="D11" s="93" t="s">
        <v>171</v>
      </c>
      <c r="E11" s="165">
        <v>44287</v>
      </c>
      <c r="F11" s="132">
        <v>43922</v>
      </c>
      <c r="G11" s="132">
        <v>43556</v>
      </c>
      <c r="H11" s="132">
        <v>43191</v>
      </c>
      <c r="I11" s="33">
        <v>42826</v>
      </c>
      <c r="J11" s="33">
        <v>42461</v>
      </c>
      <c r="K11" s="33">
        <v>42095</v>
      </c>
      <c r="L11" s="33">
        <v>41730</v>
      </c>
      <c r="M11" s="33">
        <v>41365</v>
      </c>
      <c r="N11" s="33">
        <v>41000</v>
      </c>
      <c r="O11" s="33">
        <v>40634</v>
      </c>
      <c r="P11" s="33">
        <v>40269</v>
      </c>
      <c r="Q11" s="33">
        <v>39904</v>
      </c>
      <c r="R11" s="33">
        <v>39539</v>
      </c>
      <c r="S11" s="34">
        <v>39173</v>
      </c>
    </row>
    <row r="12" spans="1:19" ht="12.75">
      <c r="A12" s="27" t="s">
        <v>7</v>
      </c>
      <c r="B12" s="35">
        <f>(E12-F12)/F12</f>
        <v>0.17210816167941168</v>
      </c>
      <c r="C12" s="140">
        <f>E12-'[1]Netherlands'!E12</f>
        <v>-27451</v>
      </c>
      <c r="D12" s="13">
        <f>F12-'[1]Netherlands'!F12</f>
        <v>-26199</v>
      </c>
      <c r="E12" s="122">
        <v>104075</v>
      </c>
      <c r="F12" s="13">
        <v>88793</v>
      </c>
      <c r="G12" s="13">
        <v>103813</v>
      </c>
      <c r="H12" s="13">
        <v>90947</v>
      </c>
      <c r="I12" s="81">
        <v>97997</v>
      </c>
      <c r="J12" s="81">
        <v>99846</v>
      </c>
      <c r="K12" s="81">
        <v>91241</v>
      </c>
      <c r="L12" s="13">
        <v>80000</v>
      </c>
      <c r="M12" s="13">
        <v>42000</v>
      </c>
      <c r="N12" s="13">
        <v>75000</v>
      </c>
      <c r="O12" s="13">
        <v>59000</v>
      </c>
      <c r="P12" s="13">
        <v>64000</v>
      </c>
      <c r="Q12" s="13">
        <v>22000</v>
      </c>
      <c r="R12" s="13">
        <v>41000</v>
      </c>
      <c r="S12" s="37">
        <v>47000</v>
      </c>
    </row>
    <row r="13" spans="1:19" ht="12.75">
      <c r="A13" s="27" t="s">
        <v>100</v>
      </c>
      <c r="B13" s="35"/>
      <c r="C13" s="140">
        <f>E13-'[1]Netherlands'!E13</f>
        <v>-206</v>
      </c>
      <c r="D13" s="13">
        <f>F13-'[1]Netherlands'!F13</f>
        <v>-445</v>
      </c>
      <c r="E13" s="122">
        <v>0</v>
      </c>
      <c r="F13" s="13"/>
      <c r="G13" s="13">
        <v>0</v>
      </c>
      <c r="H13" s="13">
        <v>0</v>
      </c>
      <c r="I13" s="81">
        <v>35</v>
      </c>
      <c r="J13" s="81">
        <v>20</v>
      </c>
      <c r="K13" s="81">
        <v>274</v>
      </c>
      <c r="L13" s="13">
        <v>200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37">
        <v>0</v>
      </c>
    </row>
    <row r="14" spans="1:19" ht="13.5" thickBot="1">
      <c r="A14" s="27" t="s">
        <v>6</v>
      </c>
      <c r="B14" s="35">
        <f>(E14-F14)/F14</f>
        <v>-0.09968102073365231</v>
      </c>
      <c r="C14" s="140">
        <f>E14-'[1]Netherlands'!E14</f>
        <v>-3864</v>
      </c>
      <c r="D14" s="13">
        <f>F14-'[1]Netherlands'!F14</f>
        <v>-3314</v>
      </c>
      <c r="E14" s="122">
        <v>2258</v>
      </c>
      <c r="F14" s="13">
        <v>2508</v>
      </c>
      <c r="G14" s="13">
        <v>3814</v>
      </c>
      <c r="H14" s="13">
        <v>1484</v>
      </c>
      <c r="I14" s="81">
        <v>1837</v>
      </c>
      <c r="J14" s="81">
        <v>1503</v>
      </c>
      <c r="K14" s="81">
        <v>748</v>
      </c>
      <c r="L14" s="13">
        <v>4000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37">
        <v>0</v>
      </c>
    </row>
    <row r="15" spans="1:19" ht="13.5" thickBot="1">
      <c r="A15" s="31" t="s">
        <v>23</v>
      </c>
      <c r="B15" s="156">
        <f>(E15-F15)/F15</f>
        <v>0.16464222735786027</v>
      </c>
      <c r="C15" s="167">
        <f>E15-'[1]Netherlands'!E15</f>
        <v>-31521</v>
      </c>
      <c r="D15" s="103">
        <f>F15-'[1]Netherlands'!F15</f>
        <v>-29958</v>
      </c>
      <c r="E15" s="160">
        <f>SUM(E12:E14)</f>
        <v>106333</v>
      </c>
      <c r="F15" s="103">
        <f>SUM(F12:F14)</f>
        <v>91301</v>
      </c>
      <c r="G15" s="103">
        <f>SUM(G12:G14)</f>
        <v>107627</v>
      </c>
      <c r="H15" s="103">
        <f aca="true" t="shared" si="3" ref="H15:M15">SUM(H12:H14)</f>
        <v>92431</v>
      </c>
      <c r="I15" s="103">
        <f t="shared" si="3"/>
        <v>99869</v>
      </c>
      <c r="J15" s="103">
        <f t="shared" si="3"/>
        <v>101369</v>
      </c>
      <c r="K15" s="103">
        <f t="shared" si="3"/>
        <v>92263</v>
      </c>
      <c r="L15" s="103">
        <f t="shared" si="3"/>
        <v>84200</v>
      </c>
      <c r="M15" s="103">
        <f t="shared" si="3"/>
        <v>42000</v>
      </c>
      <c r="N15" s="103">
        <f aca="true" t="shared" si="4" ref="N15:S15">SUM(N12:N14)</f>
        <v>75000</v>
      </c>
      <c r="O15" s="103">
        <f t="shared" si="4"/>
        <v>59000</v>
      </c>
      <c r="P15" s="103">
        <f t="shared" si="4"/>
        <v>64000</v>
      </c>
      <c r="Q15" s="103">
        <f t="shared" si="4"/>
        <v>22000</v>
      </c>
      <c r="R15" s="103">
        <f t="shared" si="4"/>
        <v>41000</v>
      </c>
      <c r="S15" s="148">
        <f t="shared" si="4"/>
        <v>47000</v>
      </c>
    </row>
    <row r="22" spans="18:20" ht="18">
      <c r="R22" s="5"/>
      <c r="S22" s="1"/>
      <c r="T22" s="1"/>
    </row>
    <row r="23" spans="18:20" ht="18">
      <c r="R23" s="5"/>
      <c r="S23" s="1"/>
      <c r="T23" s="1"/>
    </row>
    <row r="24" spans="18:20" ht="18">
      <c r="R24" s="5"/>
      <c r="S24" s="1"/>
      <c r="T24" s="1"/>
    </row>
    <row r="25" spans="18:20" ht="18">
      <c r="R25" s="5"/>
      <c r="S25" s="1"/>
      <c r="T25" s="1"/>
    </row>
    <row r="26" spans="18:20" ht="18">
      <c r="R26" s="5"/>
      <c r="S26" s="1"/>
      <c r="T26" s="1"/>
    </row>
    <row r="27" spans="18:20" ht="18">
      <c r="R27" s="5"/>
      <c r="S27" s="1"/>
      <c r="T27" s="1"/>
    </row>
    <row r="28" spans="18:20" ht="18">
      <c r="R28" s="5"/>
      <c r="S28" s="1"/>
      <c r="T28" s="1"/>
    </row>
    <row r="29" spans="18:20" ht="18">
      <c r="R29" s="5"/>
      <c r="S29" s="1"/>
      <c r="T29" s="1"/>
    </row>
    <row r="30" spans="18:20" ht="18">
      <c r="R30" s="5"/>
      <c r="S30" s="1"/>
      <c r="T30" s="1"/>
    </row>
    <row r="31" spans="18:20" ht="18">
      <c r="R31" s="5"/>
      <c r="S31" s="1"/>
      <c r="T31" s="1"/>
    </row>
    <row r="32" spans="18:20" ht="18">
      <c r="R32" s="6"/>
      <c r="S32" s="1"/>
      <c r="T32" s="1"/>
    </row>
    <row r="33" spans="18:20" ht="18">
      <c r="R33" s="7"/>
      <c r="S33" s="2"/>
      <c r="T33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="89" zoomScaleNormal="89" zoomScalePageLayoutView="0" workbookViewId="0" topLeftCell="A1">
      <selection activeCell="H34" sqref="H34"/>
    </sheetView>
  </sheetViews>
  <sheetFormatPr defaultColWidth="8.8515625" defaultRowHeight="12.75"/>
  <cols>
    <col min="1" max="1" width="24.8515625" style="0" customWidth="1"/>
    <col min="2" max="2" width="10.8515625" style="0" customWidth="1"/>
    <col min="3" max="3" width="11.7109375" style="0" bestFit="1" customWidth="1"/>
    <col min="4" max="4" width="11.7109375" style="9" bestFit="1" customWidth="1"/>
    <col min="5" max="8" width="11.7109375" style="9" customWidth="1"/>
    <col min="9" max="9" width="10.8515625" style="0" customWidth="1"/>
    <col min="10" max="17" width="10.140625" style="9" bestFit="1" customWidth="1"/>
    <col min="18" max="19" width="10.140625" style="0" bestFit="1" customWidth="1"/>
  </cols>
  <sheetData>
    <row r="1" spans="1:19" ht="13.5" thickBot="1">
      <c r="A1" s="52" t="s">
        <v>91</v>
      </c>
      <c r="B1" s="32" t="s">
        <v>178</v>
      </c>
      <c r="C1" s="162" t="s">
        <v>177</v>
      </c>
      <c r="D1" s="93" t="s">
        <v>171</v>
      </c>
      <c r="E1" s="165">
        <v>44287</v>
      </c>
      <c r="F1" s="132">
        <v>43922</v>
      </c>
      <c r="G1" s="132">
        <v>43556</v>
      </c>
      <c r="H1" s="132">
        <v>43191</v>
      </c>
      <c r="I1" s="33">
        <v>42826</v>
      </c>
      <c r="J1" s="33">
        <v>42461</v>
      </c>
      <c r="K1" s="33">
        <v>42095</v>
      </c>
      <c r="L1" s="33">
        <v>41730</v>
      </c>
      <c r="M1" s="33">
        <v>41365</v>
      </c>
      <c r="N1" s="33">
        <v>41000</v>
      </c>
      <c r="O1" s="33">
        <v>40634</v>
      </c>
      <c r="P1" s="33">
        <v>40269</v>
      </c>
      <c r="Q1" s="33">
        <v>39904</v>
      </c>
      <c r="R1" s="33">
        <v>39539</v>
      </c>
      <c r="S1" s="34">
        <v>39173</v>
      </c>
    </row>
    <row r="2" spans="1:19" ht="12.75">
      <c r="A2" s="53" t="s">
        <v>11</v>
      </c>
      <c r="B2" s="58">
        <f>(E2-F2)/F2</f>
        <v>-0.10112542815201435</v>
      </c>
      <c r="C2" s="141">
        <f>E2-'[1]UK'!E2</f>
        <v>-4519</v>
      </c>
      <c r="D2" s="81">
        <f>F2-'[1]UK'!F2</f>
        <v>-4708</v>
      </c>
      <c r="E2" s="159">
        <v>5511</v>
      </c>
      <c r="F2" s="81">
        <v>6131</v>
      </c>
      <c r="G2" s="81">
        <v>5088</v>
      </c>
      <c r="H2" s="81">
        <v>1622</v>
      </c>
      <c r="I2" s="81">
        <v>5410</v>
      </c>
      <c r="J2" s="81">
        <v>4950</v>
      </c>
      <c r="K2" s="81">
        <v>2700</v>
      </c>
      <c r="L2" s="81">
        <v>3800</v>
      </c>
      <c r="M2" s="81">
        <v>300</v>
      </c>
      <c r="N2" s="81">
        <v>3200</v>
      </c>
      <c r="O2" s="81">
        <v>2000</v>
      </c>
      <c r="P2" s="81">
        <v>1800</v>
      </c>
      <c r="Q2" s="81">
        <v>1000</v>
      </c>
      <c r="R2" s="51">
        <v>900</v>
      </c>
      <c r="S2" s="75">
        <v>0</v>
      </c>
    </row>
    <row r="3" spans="1:19" ht="12.75">
      <c r="A3" s="53" t="s">
        <v>36</v>
      </c>
      <c r="B3" s="58">
        <f aca="true" t="shared" si="0" ref="B3:B12">(E3-F3)/F3</f>
        <v>0.21429794520547946</v>
      </c>
      <c r="C3" s="141">
        <f>E3-'[1]UK'!E3</f>
        <v>-5102</v>
      </c>
      <c r="D3" s="81">
        <f>F3-'[1]UK'!F3</f>
        <v>-7392</v>
      </c>
      <c r="E3" s="159">
        <v>14183</v>
      </c>
      <c r="F3" s="81">
        <v>11680</v>
      </c>
      <c r="G3" s="81">
        <v>19800</v>
      </c>
      <c r="H3" s="81">
        <v>18000</v>
      </c>
      <c r="I3" s="81">
        <v>19850</v>
      </c>
      <c r="J3" s="81">
        <v>16000</v>
      </c>
      <c r="K3" s="81">
        <v>29000</v>
      </c>
      <c r="L3" s="81">
        <v>26000</v>
      </c>
      <c r="M3" s="81">
        <v>10000</v>
      </c>
      <c r="N3" s="81">
        <v>25000</v>
      </c>
      <c r="O3" s="81">
        <v>26000</v>
      </c>
      <c r="P3" s="81">
        <v>26000</v>
      </c>
      <c r="Q3" s="81">
        <v>28000</v>
      </c>
      <c r="R3" s="51">
        <v>20000</v>
      </c>
      <c r="S3" s="75">
        <v>25000</v>
      </c>
    </row>
    <row r="4" spans="1:19" ht="12.75">
      <c r="A4" s="53" t="s">
        <v>29</v>
      </c>
      <c r="B4" s="58">
        <f t="shared" si="0"/>
        <v>2.2596599690880987</v>
      </c>
      <c r="C4" s="141">
        <f>E4-'[1]UK'!E4</f>
        <v>-1262</v>
      </c>
      <c r="D4" s="81">
        <f>F4-'[1]UK'!F4</f>
        <v>-827</v>
      </c>
      <c r="E4" s="159">
        <v>2109</v>
      </c>
      <c r="F4" s="81">
        <v>647</v>
      </c>
      <c r="G4" s="81">
        <v>1314</v>
      </c>
      <c r="H4" s="81">
        <v>256</v>
      </c>
      <c r="I4" s="81">
        <v>0</v>
      </c>
      <c r="J4" s="81">
        <v>1100</v>
      </c>
      <c r="K4" s="81">
        <v>300</v>
      </c>
      <c r="L4" s="81">
        <v>300</v>
      </c>
      <c r="M4" s="81">
        <v>0</v>
      </c>
      <c r="N4" s="81">
        <v>0</v>
      </c>
      <c r="O4" s="81">
        <v>0</v>
      </c>
      <c r="P4" s="81">
        <v>200</v>
      </c>
      <c r="Q4" s="81">
        <v>0</v>
      </c>
      <c r="R4" s="51">
        <v>0</v>
      </c>
      <c r="S4" s="75">
        <v>0</v>
      </c>
    </row>
    <row r="5" spans="1:19" ht="12.75">
      <c r="A5" s="53" t="s">
        <v>5</v>
      </c>
      <c r="B5" s="58">
        <f t="shared" si="0"/>
        <v>-0.352112676056338</v>
      </c>
      <c r="C5" s="141">
        <f>E5-'[1]UK'!E5</f>
        <v>-720</v>
      </c>
      <c r="D5" s="81">
        <f>F5-'[1]UK'!F5</f>
        <v>-1040</v>
      </c>
      <c r="E5" s="159">
        <v>92</v>
      </c>
      <c r="F5" s="81">
        <v>142</v>
      </c>
      <c r="G5" s="81">
        <v>316</v>
      </c>
      <c r="H5" s="81">
        <v>53</v>
      </c>
      <c r="I5" s="81">
        <v>210</v>
      </c>
      <c r="J5" s="81">
        <v>1700</v>
      </c>
      <c r="K5" s="81">
        <v>0</v>
      </c>
      <c r="L5" s="81">
        <v>1900</v>
      </c>
      <c r="M5" s="81">
        <v>100</v>
      </c>
      <c r="N5" s="81">
        <v>1400</v>
      </c>
      <c r="O5" s="81">
        <v>1000</v>
      </c>
      <c r="P5" s="81">
        <v>1200</v>
      </c>
      <c r="Q5" s="81">
        <v>700</v>
      </c>
      <c r="R5" s="51">
        <v>1000</v>
      </c>
      <c r="S5" s="75">
        <v>0</v>
      </c>
    </row>
    <row r="6" spans="1:19" ht="12.75">
      <c r="A6" s="53" t="s">
        <v>9</v>
      </c>
      <c r="B6" s="58">
        <f t="shared" si="0"/>
        <v>-0.21770744225834046</v>
      </c>
      <c r="C6" s="141">
        <f>E6-'[1]UK'!E6</f>
        <v>-7978</v>
      </c>
      <c r="D6" s="81">
        <f>F6-'[1]UK'!F6</f>
        <v>-7029</v>
      </c>
      <c r="E6" s="159">
        <v>10974</v>
      </c>
      <c r="F6" s="81">
        <v>14028</v>
      </c>
      <c r="G6" s="81">
        <v>10885</v>
      </c>
      <c r="H6" s="81">
        <v>6540</v>
      </c>
      <c r="I6" s="81">
        <v>5540</v>
      </c>
      <c r="J6" s="81">
        <v>10100</v>
      </c>
      <c r="K6" s="81">
        <v>1400</v>
      </c>
      <c r="L6" s="81">
        <v>3700</v>
      </c>
      <c r="M6" s="81">
        <v>1500</v>
      </c>
      <c r="N6" s="81">
        <v>2200</v>
      </c>
      <c r="O6" s="81">
        <v>1000</v>
      </c>
      <c r="P6" s="81">
        <v>800</v>
      </c>
      <c r="Q6" s="81">
        <v>100</v>
      </c>
      <c r="R6" s="51">
        <v>0</v>
      </c>
      <c r="S6" s="75">
        <v>0</v>
      </c>
    </row>
    <row r="7" spans="1:20" ht="12.75">
      <c r="A7" s="53" t="s">
        <v>27</v>
      </c>
      <c r="B7" s="58"/>
      <c r="C7" s="141">
        <f>E7-'[1]UK'!E7</f>
        <v>0</v>
      </c>
      <c r="D7" s="81">
        <f>F7-'[1]UK'!F7</f>
        <v>-56</v>
      </c>
      <c r="E7" s="159"/>
      <c r="F7" s="81"/>
      <c r="G7" s="81">
        <v>84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51">
        <v>0</v>
      </c>
      <c r="S7" s="75">
        <v>0</v>
      </c>
      <c r="T7" s="1"/>
    </row>
    <row r="8" spans="1:19" ht="12.75">
      <c r="A8" s="53" t="s">
        <v>26</v>
      </c>
      <c r="B8" s="58"/>
      <c r="C8" s="141">
        <f>E8-'[1]UK'!E8</f>
        <v>0</v>
      </c>
      <c r="D8" s="81">
        <f>F8-'[1]UK'!F8</f>
        <v>0</v>
      </c>
      <c r="E8" s="159"/>
      <c r="F8" s="81"/>
      <c r="G8" s="81"/>
      <c r="H8" s="81">
        <v>256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500</v>
      </c>
      <c r="P8" s="81">
        <v>700</v>
      </c>
      <c r="Q8" s="81">
        <v>500</v>
      </c>
      <c r="R8" s="51">
        <v>0</v>
      </c>
      <c r="S8" s="75">
        <v>0</v>
      </c>
    </row>
    <row r="9" spans="1:19" ht="12.75">
      <c r="A9" s="53" t="s">
        <v>35</v>
      </c>
      <c r="B9" s="58">
        <f t="shared" si="0"/>
        <v>-0.48333333333333334</v>
      </c>
      <c r="C9" s="141">
        <f>E9-'[1]UK'!E9</f>
        <v>-120</v>
      </c>
      <c r="D9" s="81">
        <f>F9-'[1]UK'!F9</f>
        <v>-20</v>
      </c>
      <c r="E9" s="159">
        <v>31</v>
      </c>
      <c r="F9" s="81">
        <v>60</v>
      </c>
      <c r="G9" s="81"/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51">
        <v>0</v>
      </c>
      <c r="S9" s="75">
        <v>0</v>
      </c>
    </row>
    <row r="10" spans="1:19" ht="12.75">
      <c r="A10" s="53" t="s">
        <v>134</v>
      </c>
      <c r="B10" s="58">
        <f t="shared" si="0"/>
        <v>-0.022208700943109217</v>
      </c>
      <c r="C10" s="141">
        <f>E10-'[1]UK'!E10</f>
        <v>-1712</v>
      </c>
      <c r="D10" s="81">
        <f>F10-'[1]UK'!F10</f>
        <v>-1701</v>
      </c>
      <c r="E10" s="159">
        <v>3214</v>
      </c>
      <c r="F10" s="81">
        <v>3287</v>
      </c>
      <c r="G10" s="81">
        <v>2732</v>
      </c>
      <c r="H10" s="81">
        <v>1359</v>
      </c>
      <c r="I10" s="81">
        <v>0</v>
      </c>
      <c r="J10" s="81">
        <v>3200</v>
      </c>
      <c r="K10" s="81">
        <v>2000</v>
      </c>
      <c r="L10" s="81">
        <v>1500</v>
      </c>
      <c r="M10" s="81">
        <v>500</v>
      </c>
      <c r="N10" s="81">
        <v>300</v>
      </c>
      <c r="O10" s="81">
        <v>1000</v>
      </c>
      <c r="P10" s="81">
        <v>800</v>
      </c>
      <c r="Q10" s="81"/>
      <c r="R10" s="51">
        <v>600</v>
      </c>
      <c r="S10" s="75">
        <v>0</v>
      </c>
    </row>
    <row r="11" spans="1:19" ht="13.5" thickBot="1">
      <c r="A11" s="53" t="s">
        <v>6</v>
      </c>
      <c r="B11" s="58">
        <f t="shared" si="0"/>
        <v>-0.77039067854695</v>
      </c>
      <c r="C11" s="141">
        <f>E11-'[1]UK'!E11</f>
        <v>-78</v>
      </c>
      <c r="D11" s="81">
        <f>F11-'[1]UK'!F11</f>
        <v>-288</v>
      </c>
      <c r="E11" s="159">
        <v>335</v>
      </c>
      <c r="F11" s="81">
        <v>1459</v>
      </c>
      <c r="G11" s="81">
        <v>974</v>
      </c>
      <c r="H11" s="81">
        <v>0</v>
      </c>
      <c r="I11" s="81">
        <v>2410</v>
      </c>
      <c r="J11" s="81">
        <v>0</v>
      </c>
      <c r="K11" s="81">
        <v>0</v>
      </c>
      <c r="L11" s="81">
        <v>300</v>
      </c>
      <c r="M11" s="81">
        <v>0</v>
      </c>
      <c r="N11" s="81">
        <v>0</v>
      </c>
      <c r="O11" s="81">
        <v>0</v>
      </c>
      <c r="P11" s="81">
        <v>0</v>
      </c>
      <c r="Q11" s="81">
        <v>700</v>
      </c>
      <c r="R11" s="51">
        <v>0</v>
      </c>
      <c r="S11" s="75">
        <v>0</v>
      </c>
    </row>
    <row r="12" spans="1:19" ht="13.5" thickBot="1">
      <c r="A12" s="52" t="s">
        <v>92</v>
      </c>
      <c r="B12" s="149">
        <f t="shared" si="0"/>
        <v>-0.026312977507079126</v>
      </c>
      <c r="C12" s="143">
        <f>E12-'[1]UK'!E12</f>
        <v>-21491</v>
      </c>
      <c r="D12" s="103">
        <f>F12-'[1]UK'!F12</f>
        <v>-23061</v>
      </c>
      <c r="E12" s="160">
        <f aca="true" t="shared" si="1" ref="E12:J12">SUM(E2:E11)</f>
        <v>36449</v>
      </c>
      <c r="F12" s="103">
        <f t="shared" si="1"/>
        <v>37434</v>
      </c>
      <c r="G12" s="103">
        <f t="shared" si="1"/>
        <v>41193</v>
      </c>
      <c r="H12" s="103">
        <f t="shared" si="1"/>
        <v>28086</v>
      </c>
      <c r="I12" s="103">
        <f t="shared" si="1"/>
        <v>33420</v>
      </c>
      <c r="J12" s="103">
        <f t="shared" si="1"/>
        <v>37050</v>
      </c>
      <c r="K12" s="103">
        <v>35400</v>
      </c>
      <c r="L12" s="103">
        <f>SUM(L2:L11)</f>
        <v>37500</v>
      </c>
      <c r="M12" s="103">
        <f>SUM(M2:M11)</f>
        <v>12400</v>
      </c>
      <c r="N12" s="103">
        <f aca="true" t="shared" si="2" ref="N12:S12">SUM(N2:N11)</f>
        <v>32100</v>
      </c>
      <c r="O12" s="103">
        <f t="shared" si="2"/>
        <v>31500</v>
      </c>
      <c r="P12" s="103">
        <f t="shared" si="2"/>
        <v>31500</v>
      </c>
      <c r="Q12" s="103">
        <f t="shared" si="2"/>
        <v>31000</v>
      </c>
      <c r="R12" s="57">
        <f t="shared" si="2"/>
        <v>22500</v>
      </c>
      <c r="S12" s="148">
        <f t="shared" si="2"/>
        <v>25000</v>
      </c>
    </row>
    <row r="13" ht="12.75">
      <c r="I13" s="9"/>
    </row>
    <row r="14" spans="2:19" ht="13.5" thickBot="1">
      <c r="B14" s="3"/>
      <c r="C14" s="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3"/>
      <c r="S14" s="3"/>
    </row>
    <row r="15" spans="1:19" s="63" customFormat="1" ht="13.5" thickBot="1">
      <c r="A15" s="62" t="s">
        <v>91</v>
      </c>
      <c r="B15" s="32" t="s">
        <v>178</v>
      </c>
      <c r="C15" s="162" t="s">
        <v>177</v>
      </c>
      <c r="D15" s="93" t="s">
        <v>171</v>
      </c>
      <c r="E15" s="165">
        <v>44287</v>
      </c>
      <c r="F15" s="132">
        <v>43922</v>
      </c>
      <c r="G15" s="132">
        <v>43556</v>
      </c>
      <c r="H15" s="132">
        <v>43191</v>
      </c>
      <c r="I15" s="33">
        <v>42826</v>
      </c>
      <c r="J15" s="33">
        <v>42461</v>
      </c>
      <c r="K15" s="33">
        <v>42095</v>
      </c>
      <c r="L15" s="33">
        <v>41730</v>
      </c>
      <c r="M15" s="33">
        <v>41365</v>
      </c>
      <c r="N15" s="33">
        <v>41000</v>
      </c>
      <c r="O15" s="33">
        <v>40634</v>
      </c>
      <c r="P15" s="33">
        <v>40269</v>
      </c>
      <c r="Q15" s="33">
        <v>39904</v>
      </c>
      <c r="R15" s="33">
        <v>39539</v>
      </c>
      <c r="S15" s="34">
        <v>39173</v>
      </c>
    </row>
    <row r="16" spans="1:19" s="61" customFormat="1" ht="12.75">
      <c r="A16" s="64" t="s">
        <v>7</v>
      </c>
      <c r="B16" s="65">
        <f>(E16-F16)/F16</f>
        <v>12.256637168141593</v>
      </c>
      <c r="C16" s="141">
        <f>E16-'[1]UK'!E16</f>
        <v>-1210</v>
      </c>
      <c r="D16" s="86">
        <f>F16-'[1]UK'!F16</f>
        <v>-1357</v>
      </c>
      <c r="E16" s="163">
        <v>1498</v>
      </c>
      <c r="F16" s="86">
        <v>113</v>
      </c>
      <c r="G16" s="86">
        <v>751</v>
      </c>
      <c r="H16" s="86">
        <v>898</v>
      </c>
      <c r="I16" s="86">
        <v>2150</v>
      </c>
      <c r="J16" s="86">
        <v>1850</v>
      </c>
      <c r="K16" s="86">
        <v>1500</v>
      </c>
      <c r="L16" s="86">
        <v>2800</v>
      </c>
      <c r="M16" s="86">
        <v>2500</v>
      </c>
      <c r="N16" s="86">
        <v>2500</v>
      </c>
      <c r="O16" s="86">
        <v>2500</v>
      </c>
      <c r="P16" s="86">
        <v>2900</v>
      </c>
      <c r="Q16" s="86">
        <v>1000</v>
      </c>
      <c r="R16" s="66">
        <v>800</v>
      </c>
      <c r="S16" s="76">
        <v>1000</v>
      </c>
    </row>
    <row r="17" spans="1:19" s="61" customFormat="1" ht="12.75">
      <c r="A17" s="64" t="s">
        <v>93</v>
      </c>
      <c r="B17" s="65"/>
      <c r="C17" s="141">
        <f>E17-'[1]UK'!E17</f>
        <v>-94</v>
      </c>
      <c r="D17" s="86">
        <f>F17-'[1]UK'!F17</f>
        <v>0</v>
      </c>
      <c r="E17" s="163">
        <v>145</v>
      </c>
      <c r="F17" s="86"/>
      <c r="G17" s="86"/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66">
        <v>0</v>
      </c>
      <c r="S17" s="76">
        <v>0</v>
      </c>
    </row>
    <row r="18" spans="1:19" s="61" customFormat="1" ht="13.5" thickBot="1">
      <c r="A18" s="64" t="s">
        <v>6</v>
      </c>
      <c r="B18" s="65">
        <f>(E18-F18)/F18</f>
        <v>5</v>
      </c>
      <c r="C18" s="141">
        <f>E18-'[1]UK'!E18</f>
        <v>-104</v>
      </c>
      <c r="D18" s="86">
        <f>F18-'[1]UK'!F18</f>
        <v>-75</v>
      </c>
      <c r="E18" s="163">
        <v>180</v>
      </c>
      <c r="F18" s="86">
        <v>30</v>
      </c>
      <c r="G18" s="86"/>
      <c r="H18" s="86">
        <v>0</v>
      </c>
      <c r="I18" s="86">
        <v>0</v>
      </c>
      <c r="J18" s="86"/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66">
        <v>0</v>
      </c>
      <c r="S18" s="76">
        <v>0</v>
      </c>
    </row>
    <row r="19" spans="1:19" s="61" customFormat="1" ht="13.5" thickBot="1">
      <c r="A19" s="62" t="s">
        <v>92</v>
      </c>
      <c r="B19" s="107">
        <f>(E19-F19)/F19</f>
        <v>11.748251748251748</v>
      </c>
      <c r="C19" s="143">
        <f>E19-'[1]UK'!E19</f>
        <v>-1408</v>
      </c>
      <c r="D19" s="99">
        <f>F19-'[1]UK'!F19</f>
        <v>-1432</v>
      </c>
      <c r="E19" s="73">
        <f aca="true" t="shared" si="3" ref="E19:J19">SUM(E16:E18)</f>
        <v>1823</v>
      </c>
      <c r="F19" s="99">
        <f t="shared" si="3"/>
        <v>143</v>
      </c>
      <c r="G19" s="99">
        <f t="shared" si="3"/>
        <v>751</v>
      </c>
      <c r="H19" s="99">
        <f t="shared" si="3"/>
        <v>898</v>
      </c>
      <c r="I19" s="99">
        <f t="shared" si="3"/>
        <v>2150</v>
      </c>
      <c r="J19" s="99">
        <f t="shared" si="3"/>
        <v>1850</v>
      </c>
      <c r="K19" s="99">
        <v>1500</v>
      </c>
      <c r="L19" s="99">
        <f>SUM(L16:L18)</f>
        <v>2800</v>
      </c>
      <c r="M19" s="99">
        <f>SUM(M16:M18)</f>
        <v>2500</v>
      </c>
      <c r="N19" s="99">
        <f aca="true" t="shared" si="4" ref="N19:S19">SUM(N16:N18)</f>
        <v>2500</v>
      </c>
      <c r="O19" s="99">
        <f t="shared" si="4"/>
        <v>2500</v>
      </c>
      <c r="P19" s="99">
        <f t="shared" si="4"/>
        <v>2900</v>
      </c>
      <c r="Q19" s="99">
        <f t="shared" si="4"/>
        <v>1000</v>
      </c>
      <c r="R19" s="74">
        <f t="shared" si="4"/>
        <v>800</v>
      </c>
      <c r="S19" s="78">
        <f t="shared" si="4"/>
        <v>1000</v>
      </c>
    </row>
    <row r="20" spans="4:17" s="61" customFormat="1" ht="12.75">
      <c r="D20" s="105"/>
      <c r="E20" s="105"/>
      <c r="F20" s="105"/>
      <c r="G20" s="105"/>
      <c r="H20" s="105"/>
      <c r="J20" s="105"/>
      <c r="K20" s="105"/>
      <c r="L20" s="105"/>
      <c r="M20" s="105"/>
      <c r="N20" s="105"/>
      <c r="O20" s="105"/>
      <c r="P20" s="105"/>
      <c r="Q20" s="105"/>
    </row>
    <row r="21" spans="1:17" s="61" customFormat="1" ht="12.75">
      <c r="A21" s="63"/>
      <c r="D21" s="105"/>
      <c r="E21" s="105"/>
      <c r="F21" s="105"/>
      <c r="G21" s="105"/>
      <c r="H21" s="105"/>
      <c r="J21" s="105"/>
      <c r="K21" s="105"/>
      <c r="L21" s="105"/>
      <c r="M21" s="105"/>
      <c r="N21" s="105"/>
      <c r="O21" s="105"/>
      <c r="P21" s="105"/>
      <c r="Q21" s="105"/>
    </row>
    <row r="22" spans="4:17" s="61" customFormat="1" ht="12.75">
      <c r="D22" s="105"/>
      <c r="E22" s="105"/>
      <c r="F22" s="105"/>
      <c r="G22" s="105"/>
      <c r="H22" s="105"/>
      <c r="J22" s="105"/>
      <c r="K22" s="105"/>
      <c r="L22" s="105"/>
      <c r="M22" s="105"/>
      <c r="N22" s="105"/>
      <c r="O22" s="105"/>
      <c r="P22" s="105"/>
      <c r="Q22" s="105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9"/>
  <sheetViews>
    <sheetView zoomScale="80" zoomScaleNormal="80" zoomScalePageLayoutView="0" workbookViewId="0" topLeftCell="A1">
      <selection activeCell="G49" sqref="G49"/>
    </sheetView>
  </sheetViews>
  <sheetFormatPr defaultColWidth="8.8515625" defaultRowHeight="12.75"/>
  <cols>
    <col min="1" max="1" width="29.140625" style="0" customWidth="1"/>
    <col min="2" max="2" width="10.8515625" style="0" customWidth="1"/>
    <col min="3" max="3" width="11.7109375" style="0" bestFit="1" customWidth="1"/>
    <col min="4" max="4" width="11.7109375" style="104" bestFit="1" customWidth="1"/>
    <col min="5" max="7" width="11.7109375" style="104" customWidth="1"/>
    <col min="8" max="8" width="11.8515625" style="9" customWidth="1"/>
    <col min="9" max="9" width="10.8515625" style="9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32" t="s">
        <v>178</v>
      </c>
      <c r="C1" s="60" t="s">
        <v>177</v>
      </c>
      <c r="D1" s="93" t="s">
        <v>171</v>
      </c>
      <c r="E1" s="165">
        <v>44287</v>
      </c>
      <c r="F1" s="132">
        <v>43922</v>
      </c>
      <c r="G1" s="132">
        <v>43556</v>
      </c>
      <c r="H1" s="132">
        <v>43191</v>
      </c>
      <c r="I1" s="33">
        <v>42826</v>
      </c>
      <c r="J1" s="33">
        <v>42461</v>
      </c>
      <c r="K1" s="33">
        <v>42095</v>
      </c>
      <c r="L1" s="33">
        <v>41730</v>
      </c>
      <c r="M1" s="33">
        <v>41365</v>
      </c>
      <c r="N1" s="33">
        <v>41000</v>
      </c>
      <c r="O1" s="33">
        <v>40634</v>
      </c>
      <c r="P1" s="33">
        <v>40269</v>
      </c>
      <c r="Q1" s="33">
        <v>39904</v>
      </c>
      <c r="R1" s="33">
        <v>39539</v>
      </c>
      <c r="S1" s="34">
        <v>39173</v>
      </c>
    </row>
    <row r="2" spans="1:24" ht="12.75">
      <c r="A2" s="27" t="s">
        <v>11</v>
      </c>
      <c r="B2" s="35">
        <f>(E2-F2)/F2</f>
        <v>-0.3350354609929078</v>
      </c>
      <c r="C2" s="141">
        <f>E2-'[1]US'!E2</f>
        <v>-705</v>
      </c>
      <c r="D2" s="81">
        <f>F2-'[1]US'!F2</f>
        <v>-1182</v>
      </c>
      <c r="E2" s="159">
        <v>2344</v>
      </c>
      <c r="F2" s="81">
        <v>3525</v>
      </c>
      <c r="G2" s="81">
        <v>4116</v>
      </c>
      <c r="H2" s="13">
        <v>3354</v>
      </c>
      <c r="I2" s="13">
        <v>5221</v>
      </c>
      <c r="J2" s="13">
        <v>2515</v>
      </c>
      <c r="K2" s="13">
        <v>14540</v>
      </c>
      <c r="L2" s="13">
        <v>4097</v>
      </c>
      <c r="M2" s="13">
        <v>10271</v>
      </c>
      <c r="N2" s="13">
        <v>8099</v>
      </c>
      <c r="O2" s="13">
        <v>22143.37568058076</v>
      </c>
      <c r="P2" s="13">
        <v>16464.609800362978</v>
      </c>
      <c r="Q2" s="13">
        <v>23267.695099818513</v>
      </c>
      <c r="R2" s="13">
        <v>18465.51724137931</v>
      </c>
      <c r="S2" s="37">
        <v>13072.595281306714</v>
      </c>
      <c r="W2" s="13"/>
      <c r="X2" s="46"/>
    </row>
    <row r="3" spans="1:24" ht="12.75">
      <c r="A3" s="27" t="s">
        <v>33</v>
      </c>
      <c r="B3" s="35">
        <f aca="true" t="shared" si="0" ref="B3:B27">(E3-F3)/F3</f>
        <v>0.9555302166476625</v>
      </c>
      <c r="C3" s="141">
        <f>E3-'[1]US'!E3</f>
        <v>-1201</v>
      </c>
      <c r="D3" s="81">
        <f>F3-'[1]US'!F3</f>
        <v>-1029</v>
      </c>
      <c r="E3" s="159">
        <v>1715</v>
      </c>
      <c r="F3" s="81">
        <v>877</v>
      </c>
      <c r="G3" s="81">
        <v>2477</v>
      </c>
      <c r="H3" s="13">
        <v>1277</v>
      </c>
      <c r="I3" s="13">
        <v>858</v>
      </c>
      <c r="J3" s="13">
        <v>2401</v>
      </c>
      <c r="K3" s="13">
        <v>1467</v>
      </c>
      <c r="L3" s="13">
        <v>1925</v>
      </c>
      <c r="M3" s="13">
        <v>133</v>
      </c>
      <c r="N3" s="13">
        <v>838</v>
      </c>
      <c r="O3" s="13">
        <v>1276.7695099818511</v>
      </c>
      <c r="P3" s="13">
        <v>1048.0943738656988</v>
      </c>
      <c r="Q3" s="13">
        <v>2000.907441016334</v>
      </c>
      <c r="R3" s="13">
        <v>2115.24500907441</v>
      </c>
      <c r="S3" s="37">
        <v>838.475499092559</v>
      </c>
      <c r="W3" s="13"/>
      <c r="X3" s="46"/>
    </row>
    <row r="4" spans="1:24" ht="12.75">
      <c r="A4" s="27" t="s">
        <v>172</v>
      </c>
      <c r="B4" s="35"/>
      <c r="C4" s="141">
        <f>E4-'[1]US'!E4</f>
        <v>-5240</v>
      </c>
      <c r="D4" s="81">
        <f>F4-'[1]US'!F4</f>
        <v>-305</v>
      </c>
      <c r="E4" s="159">
        <v>11053</v>
      </c>
      <c r="F4" s="81">
        <v>0</v>
      </c>
      <c r="G4" s="81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7"/>
      <c r="W4" s="13"/>
      <c r="X4" s="46"/>
    </row>
    <row r="5" spans="1:24" ht="12.75">
      <c r="A5" s="27" t="s">
        <v>49</v>
      </c>
      <c r="B5" s="35">
        <f t="shared" si="0"/>
        <v>1.018285442887675</v>
      </c>
      <c r="C5" s="141">
        <f>E5-'[1]US'!E5</f>
        <v>-5012</v>
      </c>
      <c r="D5" s="104">
        <f>F5-'[1]US'!F5</f>
        <v>-3221</v>
      </c>
      <c r="E5" s="170">
        <v>8499</v>
      </c>
      <c r="F5" s="81">
        <v>4211</v>
      </c>
      <c r="G5" s="81">
        <v>12691</v>
      </c>
      <c r="H5" s="13">
        <v>10405</v>
      </c>
      <c r="I5" s="13">
        <v>6041</v>
      </c>
      <c r="J5" s="13">
        <v>7089</v>
      </c>
      <c r="K5" s="13">
        <v>10157</v>
      </c>
      <c r="L5" s="13">
        <v>13682</v>
      </c>
      <c r="M5" s="13">
        <v>1448</v>
      </c>
      <c r="N5" s="13">
        <v>8918</v>
      </c>
      <c r="O5" s="13">
        <v>8899.274047186933</v>
      </c>
      <c r="P5" s="13">
        <v>18027.223230490017</v>
      </c>
      <c r="Q5" s="13">
        <v>12367.513611615244</v>
      </c>
      <c r="R5" s="13">
        <v>11262.250453720508</v>
      </c>
      <c r="S5" s="37">
        <v>15931.034482758621</v>
      </c>
      <c r="W5" s="13"/>
      <c r="X5" s="46"/>
    </row>
    <row r="6" spans="1:24" ht="12.75">
      <c r="A6" s="27" t="s">
        <v>12</v>
      </c>
      <c r="B6" s="35">
        <f t="shared" si="0"/>
        <v>-0.05646111614410561</v>
      </c>
      <c r="C6" s="141">
        <f>E6-'[1]US'!E6</f>
        <v>-41790</v>
      </c>
      <c r="D6" s="81">
        <f>F6-'[1]US'!F6</f>
        <v>-39513</v>
      </c>
      <c r="E6" s="159">
        <v>138520</v>
      </c>
      <c r="F6" s="81">
        <v>146809</v>
      </c>
      <c r="G6" s="81">
        <v>119064</v>
      </c>
      <c r="H6" s="13">
        <v>137910</v>
      </c>
      <c r="I6" s="13">
        <v>107077</v>
      </c>
      <c r="J6" s="13">
        <v>91699</v>
      </c>
      <c r="K6" s="13">
        <v>109230</v>
      </c>
      <c r="L6" s="13">
        <v>87487</v>
      </c>
      <c r="M6" s="13">
        <v>140483</v>
      </c>
      <c r="N6" s="13">
        <v>79865</v>
      </c>
      <c r="O6" s="13">
        <v>108125.22686025409</v>
      </c>
      <c r="P6" s="13">
        <v>76720.50816696914</v>
      </c>
      <c r="Q6" s="13">
        <v>108239.56442831217</v>
      </c>
      <c r="R6" s="13">
        <v>64067.15063520871</v>
      </c>
      <c r="S6" s="37">
        <v>65401.0889292196</v>
      </c>
      <c r="W6" s="13"/>
      <c r="X6" s="46"/>
    </row>
    <row r="7" spans="1:24" ht="12.75">
      <c r="A7" s="27" t="s">
        <v>9</v>
      </c>
      <c r="B7" s="35">
        <f t="shared" si="0"/>
        <v>-0.2197708735552021</v>
      </c>
      <c r="C7" s="141">
        <f>E7-'[1]US'!E7</f>
        <v>-54634</v>
      </c>
      <c r="D7" s="81">
        <f>F7-'[1]US'!F7</f>
        <v>-66087</v>
      </c>
      <c r="E7" s="159">
        <v>183474</v>
      </c>
      <c r="F7" s="81">
        <v>235154</v>
      </c>
      <c r="G7" s="81">
        <v>187094</v>
      </c>
      <c r="H7" s="13">
        <v>205160</v>
      </c>
      <c r="I7" s="13">
        <v>183607</v>
      </c>
      <c r="J7" s="13">
        <v>127277</v>
      </c>
      <c r="K7" s="13">
        <v>182788</v>
      </c>
      <c r="L7" s="13">
        <v>127772</v>
      </c>
      <c r="M7" s="13">
        <v>134804</v>
      </c>
      <c r="N7" s="13">
        <v>112946</v>
      </c>
      <c r="O7" s="13">
        <v>95662.43194192377</v>
      </c>
      <c r="P7" s="13">
        <v>86915.60798548095</v>
      </c>
      <c r="Q7" s="13">
        <v>84457.3502722323</v>
      </c>
      <c r="R7" s="13">
        <v>62161.52450090744</v>
      </c>
      <c r="S7" s="37">
        <v>45315.78947368421</v>
      </c>
      <c r="W7" s="13"/>
      <c r="X7" s="46"/>
    </row>
    <row r="8" spans="1:24" ht="12.75">
      <c r="A8" s="27" t="s">
        <v>3</v>
      </c>
      <c r="B8" s="35">
        <f t="shared" si="0"/>
        <v>-0.48287018035201235</v>
      </c>
      <c r="C8" s="141">
        <f>E8-'[1]US'!E8</f>
        <v>-12997</v>
      </c>
      <c r="D8" s="81">
        <f>F8-'[1]US'!F8</f>
        <v>-17245</v>
      </c>
      <c r="E8" s="159">
        <v>42838</v>
      </c>
      <c r="F8" s="81">
        <v>82838</v>
      </c>
      <c r="G8" s="81">
        <v>44420</v>
      </c>
      <c r="H8" s="13">
        <v>72814</v>
      </c>
      <c r="I8" s="13">
        <v>58617</v>
      </c>
      <c r="J8" s="13">
        <v>78836</v>
      </c>
      <c r="K8" s="13">
        <v>126248</v>
      </c>
      <c r="L8" s="13">
        <v>102256</v>
      </c>
      <c r="M8" s="13">
        <v>115367</v>
      </c>
      <c r="N8" s="13">
        <v>94919</v>
      </c>
      <c r="O8" s="13">
        <v>99702.35934664246</v>
      </c>
      <c r="P8" s="13">
        <v>98368.42105263157</v>
      </c>
      <c r="Q8" s="13">
        <v>134232.30490018148</v>
      </c>
      <c r="R8" s="13">
        <v>104123.41197822141</v>
      </c>
      <c r="S8" s="37">
        <v>76853.90199637023</v>
      </c>
      <c r="W8" s="13"/>
      <c r="X8" s="46"/>
    </row>
    <row r="9" spans="1:24" ht="12.75">
      <c r="A9" s="27" t="s">
        <v>17</v>
      </c>
      <c r="B9" s="35">
        <f t="shared" si="0"/>
        <v>-0.29296551003481</v>
      </c>
      <c r="C9" s="141">
        <f>E9-'[1]US'!E9</f>
        <v>-31309</v>
      </c>
      <c r="D9" s="81">
        <f>F9-'[1]US'!F9</f>
        <v>-30833</v>
      </c>
      <c r="E9" s="159">
        <v>108259</v>
      </c>
      <c r="F9" s="81">
        <v>153117</v>
      </c>
      <c r="G9" s="81">
        <v>114014</v>
      </c>
      <c r="H9" s="13">
        <v>192564</v>
      </c>
      <c r="I9" s="13">
        <v>92194</v>
      </c>
      <c r="J9" s="13">
        <v>149058</v>
      </c>
      <c r="K9" s="13">
        <v>136348</v>
      </c>
      <c r="L9" s="13">
        <v>132841</v>
      </c>
      <c r="M9" s="13">
        <v>101113</v>
      </c>
      <c r="N9" s="13">
        <v>99359</v>
      </c>
      <c r="O9" s="13">
        <v>95395.6442831216</v>
      </c>
      <c r="P9" s="13">
        <v>85086.20689655172</v>
      </c>
      <c r="Q9" s="13">
        <v>135032.66787658804</v>
      </c>
      <c r="R9" s="13">
        <v>85657.8947368421</v>
      </c>
      <c r="S9" s="37">
        <v>101855.7168784029</v>
      </c>
      <c r="W9" s="13"/>
      <c r="X9" s="46"/>
    </row>
    <row r="10" spans="1:24" ht="12.75">
      <c r="A10" s="27" t="s">
        <v>159</v>
      </c>
      <c r="B10" s="35">
        <f t="shared" si="0"/>
        <v>0.2671312020729017</v>
      </c>
      <c r="C10" s="141">
        <f>E10-'[1]US'!E10</f>
        <v>-32891</v>
      </c>
      <c r="D10" s="81">
        <f>F10-'[1]US'!F10</f>
        <v>-37884</v>
      </c>
      <c r="E10" s="159">
        <v>108564</v>
      </c>
      <c r="F10" s="81">
        <v>85677</v>
      </c>
      <c r="G10" s="81">
        <v>70546</v>
      </c>
      <c r="H10" s="13">
        <v>64505</v>
      </c>
      <c r="I10" s="13">
        <v>27784</v>
      </c>
      <c r="J10" s="13">
        <v>30852</v>
      </c>
      <c r="K10" s="13">
        <v>12749</v>
      </c>
      <c r="L10" s="13">
        <v>6250</v>
      </c>
      <c r="M10" s="13">
        <v>667</v>
      </c>
      <c r="N10" s="13"/>
      <c r="O10" s="13"/>
      <c r="P10" s="13"/>
      <c r="Q10" s="13"/>
      <c r="R10" s="13"/>
      <c r="S10" s="37"/>
      <c r="W10" s="13"/>
      <c r="X10" s="46"/>
    </row>
    <row r="11" spans="1:24" ht="12.75">
      <c r="A11" s="28" t="s">
        <v>10</v>
      </c>
      <c r="B11" s="35">
        <f t="shared" si="0"/>
        <v>0.0925414364640884</v>
      </c>
      <c r="C11" s="141">
        <f>E11-'[1]US'!E11</f>
        <v>-438</v>
      </c>
      <c r="D11" s="81">
        <f>F11-'[1]US'!F11</f>
        <v>-439</v>
      </c>
      <c r="E11" s="159">
        <v>1582</v>
      </c>
      <c r="F11" s="81">
        <v>1448</v>
      </c>
      <c r="G11" s="81">
        <v>858</v>
      </c>
      <c r="H11" s="13">
        <v>1201</v>
      </c>
      <c r="I11" s="94">
        <v>1810</v>
      </c>
      <c r="J11" s="94">
        <v>1563</v>
      </c>
      <c r="K11" s="94">
        <v>2782</v>
      </c>
      <c r="L11" s="94">
        <v>5488</v>
      </c>
      <c r="M11" s="94">
        <v>534</v>
      </c>
      <c r="N11" s="94">
        <v>3449</v>
      </c>
      <c r="O11" s="94">
        <v>609.8003629764065</v>
      </c>
      <c r="P11" s="94">
        <v>3868.4210526315787</v>
      </c>
      <c r="Q11" s="94">
        <v>4535.390199637023</v>
      </c>
      <c r="R11" s="13">
        <v>3144.2831215970964</v>
      </c>
      <c r="S11" s="37">
        <v>3182.395644283122</v>
      </c>
      <c r="W11" s="13"/>
      <c r="X11" s="46"/>
    </row>
    <row r="12" spans="1:24" ht="12.75">
      <c r="A12" s="28" t="s">
        <v>27</v>
      </c>
      <c r="B12" s="35"/>
      <c r="C12" s="141">
        <f>E12-'[1]US'!E12</f>
        <v>0</v>
      </c>
      <c r="D12" s="81">
        <f>F12-'[1]US'!F12</f>
        <v>0</v>
      </c>
      <c r="E12" s="159"/>
      <c r="F12" s="81"/>
      <c r="G12" s="81">
        <v>4840</v>
      </c>
      <c r="H12" s="13">
        <v>4593</v>
      </c>
      <c r="I12" s="94">
        <v>6022</v>
      </c>
      <c r="J12" s="94">
        <v>3335</v>
      </c>
      <c r="K12" s="94">
        <v>9890</v>
      </c>
      <c r="L12" s="94">
        <v>9338</v>
      </c>
      <c r="M12" s="94">
        <v>4593</v>
      </c>
      <c r="N12" s="94">
        <v>5164</v>
      </c>
      <c r="O12" s="94">
        <v>6040.834845735028</v>
      </c>
      <c r="P12" s="94">
        <v>5240.471869328494</v>
      </c>
      <c r="Q12" s="94">
        <v>4649.7277676951</v>
      </c>
      <c r="R12" s="13">
        <v>2305.807622504537</v>
      </c>
      <c r="S12" s="37">
        <v>3144.2831215970964</v>
      </c>
      <c r="W12" s="13"/>
      <c r="X12" s="46"/>
    </row>
    <row r="13" spans="1:24" ht="12.75">
      <c r="A13" s="28" t="s">
        <v>50</v>
      </c>
      <c r="B13" s="35">
        <f t="shared" si="0"/>
        <v>-0.5914221218961625</v>
      </c>
      <c r="C13" s="141">
        <f>E13-'[1]US'!E13</f>
        <v>-419</v>
      </c>
      <c r="D13" s="81">
        <f>F13-'[1]US'!F13</f>
        <v>1010</v>
      </c>
      <c r="E13" s="159">
        <v>724</v>
      </c>
      <c r="F13" s="81">
        <v>1772</v>
      </c>
      <c r="G13" s="81">
        <v>1696</v>
      </c>
      <c r="H13" s="13">
        <v>0</v>
      </c>
      <c r="I13" s="94">
        <v>229</v>
      </c>
      <c r="J13" s="94">
        <v>1582</v>
      </c>
      <c r="K13" s="94">
        <v>1601</v>
      </c>
      <c r="L13" s="94">
        <v>2401</v>
      </c>
      <c r="M13" s="94">
        <v>38</v>
      </c>
      <c r="N13" s="94">
        <v>2496</v>
      </c>
      <c r="O13" s="94">
        <v>876.5880217785844</v>
      </c>
      <c r="P13" s="94">
        <v>6117.059891107078</v>
      </c>
      <c r="Q13" s="94">
        <v>1295.8257713248638</v>
      </c>
      <c r="R13" s="13">
        <v>743.1941923774955</v>
      </c>
      <c r="S13" s="37">
        <v>1314.8820326678765</v>
      </c>
      <c r="W13" s="13"/>
      <c r="X13" s="46"/>
    </row>
    <row r="14" spans="1:24" ht="12.75">
      <c r="A14" s="28" t="s">
        <v>51</v>
      </c>
      <c r="B14" s="35">
        <f t="shared" si="0"/>
        <v>-0.1054160419790105</v>
      </c>
      <c r="C14" s="141">
        <f>E14-'[1]US'!E14</f>
        <v>-4421</v>
      </c>
      <c r="D14" s="81">
        <f>F14-'[1]US'!F14</f>
        <v>-5640</v>
      </c>
      <c r="E14" s="159">
        <v>9547</v>
      </c>
      <c r="F14" s="81">
        <v>10672</v>
      </c>
      <c r="G14" s="81">
        <v>14368</v>
      </c>
      <c r="H14" s="13">
        <v>12444</v>
      </c>
      <c r="I14" s="94">
        <v>9204</v>
      </c>
      <c r="J14" s="94">
        <v>14769</v>
      </c>
      <c r="K14" s="94">
        <v>17799</v>
      </c>
      <c r="L14" s="94">
        <v>18408</v>
      </c>
      <c r="M14" s="94">
        <v>2172</v>
      </c>
      <c r="N14" s="94">
        <v>9776</v>
      </c>
      <c r="O14" s="94">
        <v>7717.785843920145</v>
      </c>
      <c r="P14" s="94">
        <v>20275.862068965518</v>
      </c>
      <c r="Q14" s="94">
        <v>14101.633393829401</v>
      </c>
      <c r="R14" s="13">
        <v>12291.288566243195</v>
      </c>
      <c r="S14" s="37">
        <v>11891.107078039928</v>
      </c>
      <c r="W14" s="13"/>
      <c r="X14" s="46"/>
    </row>
    <row r="15" spans="1:24" ht="12.75">
      <c r="A15" s="28" t="s">
        <v>52</v>
      </c>
      <c r="B15" s="35">
        <f t="shared" si="0"/>
        <v>-0.1557377049180328</v>
      </c>
      <c r="C15" s="141">
        <f>E15-'[1]US'!E15</f>
        <v>-57</v>
      </c>
      <c r="D15" s="81">
        <f>F15-'[1]US'!F15</f>
        <v>-171</v>
      </c>
      <c r="E15" s="159">
        <v>515</v>
      </c>
      <c r="F15" s="81">
        <v>610</v>
      </c>
      <c r="G15" s="81">
        <v>991</v>
      </c>
      <c r="H15" s="13">
        <v>1525</v>
      </c>
      <c r="I15" s="94">
        <v>1067</v>
      </c>
      <c r="J15" s="94">
        <v>648</v>
      </c>
      <c r="K15" s="94">
        <v>762</v>
      </c>
      <c r="L15" s="94">
        <v>1162</v>
      </c>
      <c r="M15" s="94">
        <v>819</v>
      </c>
      <c r="N15" s="94">
        <v>2344</v>
      </c>
      <c r="O15" s="94">
        <v>2134.301270417423</v>
      </c>
      <c r="P15" s="94">
        <v>2362.9764065335753</v>
      </c>
      <c r="Q15" s="94">
        <v>2763.157894736842</v>
      </c>
      <c r="R15" s="13">
        <v>3887.4773139745917</v>
      </c>
      <c r="S15" s="37">
        <v>2115.24500907441</v>
      </c>
      <c r="W15" s="13"/>
      <c r="X15" s="46"/>
    </row>
    <row r="16" spans="1:24" ht="12.75">
      <c r="A16" s="28" t="s">
        <v>53</v>
      </c>
      <c r="B16" s="35">
        <f t="shared" si="0"/>
        <v>0.9288389513108615</v>
      </c>
      <c r="C16" s="141">
        <f>E16-'[1]US'!E16</f>
        <v>-133</v>
      </c>
      <c r="D16" s="81">
        <f>F16-'[1]US'!F16</f>
        <v>-95</v>
      </c>
      <c r="E16" s="159">
        <v>515</v>
      </c>
      <c r="F16" s="81">
        <v>267</v>
      </c>
      <c r="G16" s="81">
        <v>324</v>
      </c>
      <c r="H16" s="13">
        <v>0</v>
      </c>
      <c r="I16" s="94">
        <v>0</v>
      </c>
      <c r="J16" s="94">
        <v>0</v>
      </c>
      <c r="K16" s="94">
        <v>0</v>
      </c>
      <c r="L16" s="94">
        <v>0</v>
      </c>
      <c r="M16" s="94">
        <v>400</v>
      </c>
      <c r="N16" s="94">
        <v>591</v>
      </c>
      <c r="O16" s="94">
        <v>1372.0508166969148</v>
      </c>
      <c r="P16" s="94">
        <v>0</v>
      </c>
      <c r="Q16" s="94">
        <v>2210.5263157894738</v>
      </c>
      <c r="R16" s="13">
        <v>171.50635208711435</v>
      </c>
      <c r="S16" s="37">
        <v>57.168784029038115</v>
      </c>
      <c r="W16" s="13"/>
      <c r="X16" s="46"/>
    </row>
    <row r="17" spans="1:24" ht="12.75">
      <c r="A17" s="28" t="s">
        <v>54</v>
      </c>
      <c r="B17" s="35"/>
      <c r="C17" s="141">
        <f>E17-'[1]US'!E17</f>
        <v>0</v>
      </c>
      <c r="D17" s="81">
        <f>F17-'[1]US'!F17</f>
        <v>0</v>
      </c>
      <c r="E17" s="159"/>
      <c r="F17" s="81"/>
      <c r="G17" s="81"/>
      <c r="H17" s="13">
        <v>0</v>
      </c>
      <c r="I17" s="94">
        <v>0</v>
      </c>
      <c r="J17" s="94">
        <v>0</v>
      </c>
      <c r="K17" s="94">
        <v>0</v>
      </c>
      <c r="L17" s="94">
        <v>305</v>
      </c>
      <c r="M17" s="94">
        <v>19</v>
      </c>
      <c r="N17" s="94">
        <v>0</v>
      </c>
      <c r="O17" s="94">
        <v>0</v>
      </c>
      <c r="P17" s="94">
        <v>38.11252268602541</v>
      </c>
      <c r="Q17" s="94">
        <v>0</v>
      </c>
      <c r="R17" s="13">
        <v>38.11252268602541</v>
      </c>
      <c r="S17" s="37">
        <v>38.11252268602541</v>
      </c>
      <c r="W17" s="13"/>
      <c r="X17" s="46"/>
    </row>
    <row r="18" spans="1:24" ht="12.75">
      <c r="A18" s="29" t="s">
        <v>22</v>
      </c>
      <c r="B18" s="35">
        <f t="shared" si="0"/>
        <v>0.2372467180365297</v>
      </c>
      <c r="C18" s="141">
        <f>E18-'[1]US'!E18</f>
        <v>-15531</v>
      </c>
      <c r="D18" s="81">
        <f>F18-'[1]US'!F18</f>
        <v>-15397</v>
      </c>
      <c r="E18" s="159">
        <v>69365</v>
      </c>
      <c r="F18" s="81">
        <v>56064</v>
      </c>
      <c r="G18" s="81">
        <v>56788</v>
      </c>
      <c r="H18" s="13">
        <v>48841</v>
      </c>
      <c r="I18" s="13">
        <v>55930</v>
      </c>
      <c r="J18" s="13">
        <v>45468</v>
      </c>
      <c r="K18" s="13">
        <v>36417</v>
      </c>
      <c r="L18" s="13">
        <v>26202</v>
      </c>
      <c r="M18" s="13">
        <v>25307</v>
      </c>
      <c r="N18" s="13">
        <v>19876</v>
      </c>
      <c r="O18" s="13">
        <v>22829.40108892922</v>
      </c>
      <c r="P18" s="13">
        <v>24868.42105263158</v>
      </c>
      <c r="Q18" s="13">
        <v>18179.67332123412</v>
      </c>
      <c r="R18" s="13">
        <v>18789.473684210527</v>
      </c>
      <c r="S18" s="37">
        <v>7355.716878402904</v>
      </c>
      <c r="W18" s="13"/>
      <c r="X18" s="46"/>
    </row>
    <row r="19" spans="1:24" ht="12.75">
      <c r="A19" s="28" t="s">
        <v>19</v>
      </c>
      <c r="B19" s="35">
        <f t="shared" si="0"/>
        <v>-0.15027969638448752</v>
      </c>
      <c r="C19" s="141">
        <f>E19-'[1]US'!E19</f>
        <v>-43792</v>
      </c>
      <c r="D19" s="81">
        <f>F19-'[1]US'!F19</f>
        <v>-51966</v>
      </c>
      <c r="E19" s="159">
        <v>221319</v>
      </c>
      <c r="F19" s="81">
        <v>260461</v>
      </c>
      <c r="G19" s="81">
        <v>285996</v>
      </c>
      <c r="H19" s="13">
        <v>298383</v>
      </c>
      <c r="I19" s="94">
        <v>385946</v>
      </c>
      <c r="J19" s="94">
        <v>278431</v>
      </c>
      <c r="K19" s="94">
        <v>445383</v>
      </c>
      <c r="L19" s="94">
        <v>332589</v>
      </c>
      <c r="M19" s="94">
        <v>382383</v>
      </c>
      <c r="N19" s="94">
        <v>333713</v>
      </c>
      <c r="O19" s="94">
        <v>293142.46823956445</v>
      </c>
      <c r="P19" s="94">
        <v>334227.7676950998</v>
      </c>
      <c r="Q19" s="94">
        <v>341354.8094373866</v>
      </c>
      <c r="R19" s="13">
        <v>275134.3012704174</v>
      </c>
      <c r="S19" s="37">
        <v>313437.38656987296</v>
      </c>
      <c r="W19" s="13"/>
      <c r="X19" s="46"/>
    </row>
    <row r="20" spans="1:24" ht="12.75">
      <c r="A20" s="28" t="s">
        <v>55</v>
      </c>
      <c r="B20" s="35">
        <f t="shared" si="0"/>
        <v>-0.47625847911460195</v>
      </c>
      <c r="C20" s="141">
        <f>E20-'[1]US'!E20</f>
        <v>-477</v>
      </c>
      <c r="D20" s="81">
        <f>F20-'[1]US'!F20</f>
        <v>-458</v>
      </c>
      <c r="E20" s="159">
        <v>1467</v>
      </c>
      <c r="F20" s="81">
        <v>2801</v>
      </c>
      <c r="G20" s="81">
        <v>3506</v>
      </c>
      <c r="H20" s="13">
        <v>3468</v>
      </c>
      <c r="I20" s="94">
        <v>5031</v>
      </c>
      <c r="J20" s="94">
        <v>3525</v>
      </c>
      <c r="K20" s="94">
        <v>4326</v>
      </c>
      <c r="L20" s="94">
        <v>2801</v>
      </c>
      <c r="M20" s="94">
        <v>2211</v>
      </c>
      <c r="N20" s="94">
        <v>4554</v>
      </c>
      <c r="O20" s="94">
        <v>1448.2758620689656</v>
      </c>
      <c r="P20" s="94">
        <v>3773.1397459165155</v>
      </c>
      <c r="Q20" s="94">
        <v>5126.134301270417</v>
      </c>
      <c r="R20" s="13">
        <v>5659.709618874773</v>
      </c>
      <c r="S20" s="37">
        <v>5450.090744101633</v>
      </c>
      <c r="W20" s="13"/>
      <c r="X20" s="46"/>
    </row>
    <row r="21" spans="1:24" ht="12.75">
      <c r="A21" s="28" t="s">
        <v>56</v>
      </c>
      <c r="B21" s="35">
        <f t="shared" si="0"/>
        <v>-0.9335664335664335</v>
      </c>
      <c r="C21" s="141">
        <f>E21-'[1]US'!E21</f>
        <v>-229</v>
      </c>
      <c r="D21" s="81">
        <f>F21-'[1]US'!F21</f>
        <v>134</v>
      </c>
      <c r="E21" s="159">
        <v>38</v>
      </c>
      <c r="F21" s="81">
        <v>572</v>
      </c>
      <c r="G21" s="81">
        <v>267</v>
      </c>
      <c r="H21" s="13">
        <v>229</v>
      </c>
      <c r="I21" s="94">
        <v>2725</v>
      </c>
      <c r="J21" s="94">
        <v>1563</v>
      </c>
      <c r="K21" s="94">
        <v>1677</v>
      </c>
      <c r="L21" s="94">
        <v>3544</v>
      </c>
      <c r="M21" s="94">
        <v>229</v>
      </c>
      <c r="N21" s="94">
        <v>3544</v>
      </c>
      <c r="O21" s="94">
        <v>1791.2885662431943</v>
      </c>
      <c r="P21" s="94">
        <v>3620.689655172414</v>
      </c>
      <c r="Q21" s="94">
        <v>3372.9582577132487</v>
      </c>
      <c r="R21" s="13">
        <v>2324.86388384755</v>
      </c>
      <c r="S21" s="37">
        <v>5011.796733212341</v>
      </c>
      <c r="W21" s="13"/>
      <c r="X21" s="46"/>
    </row>
    <row r="22" spans="1:24" ht="12.75">
      <c r="A22" s="28" t="s">
        <v>35</v>
      </c>
      <c r="B22" s="35">
        <f t="shared" si="0"/>
        <v>0.7732656514382402</v>
      </c>
      <c r="C22" s="141">
        <f>E22-'[1]US'!E22</f>
        <v>-820</v>
      </c>
      <c r="D22" s="81">
        <f>F22-'[1]US'!F22</f>
        <v>-228</v>
      </c>
      <c r="E22" s="159">
        <v>1048</v>
      </c>
      <c r="F22" s="81">
        <v>591</v>
      </c>
      <c r="G22" s="81">
        <v>2039</v>
      </c>
      <c r="H22" s="13">
        <v>2172</v>
      </c>
      <c r="I22" s="94">
        <v>858</v>
      </c>
      <c r="J22" s="94">
        <v>2554</v>
      </c>
      <c r="K22" s="94">
        <v>2630</v>
      </c>
      <c r="L22" s="94">
        <v>1791</v>
      </c>
      <c r="M22" s="94">
        <v>229</v>
      </c>
      <c r="N22" s="94">
        <v>991</v>
      </c>
      <c r="O22" s="94">
        <v>1867.513611615245</v>
      </c>
      <c r="P22" s="94">
        <v>3182.395644283122</v>
      </c>
      <c r="Q22" s="94">
        <v>2305.807622504537</v>
      </c>
      <c r="R22" s="13">
        <v>1657.8947368421052</v>
      </c>
      <c r="S22" s="37">
        <v>2877.4954627949182</v>
      </c>
      <c r="W22" s="13"/>
      <c r="X22" s="46"/>
    </row>
    <row r="23" spans="1:24" ht="12.75">
      <c r="A23" s="28" t="s">
        <v>21</v>
      </c>
      <c r="B23" s="35">
        <f t="shared" si="0"/>
        <v>0.25</v>
      </c>
      <c r="C23" s="141">
        <f>E23-'[1]US'!E23</f>
        <v>-38</v>
      </c>
      <c r="D23" s="81">
        <f>F23-'[1]US'!F23</f>
        <v>-57</v>
      </c>
      <c r="E23" s="159">
        <v>95</v>
      </c>
      <c r="F23" s="81">
        <v>76</v>
      </c>
      <c r="G23" s="81">
        <v>210</v>
      </c>
      <c r="H23" s="13">
        <v>229</v>
      </c>
      <c r="I23" s="94">
        <v>133</v>
      </c>
      <c r="J23" s="94">
        <v>286</v>
      </c>
      <c r="K23" s="94">
        <v>419</v>
      </c>
      <c r="L23" s="94">
        <v>38</v>
      </c>
      <c r="M23" s="94">
        <v>152</v>
      </c>
      <c r="N23" s="94">
        <v>267</v>
      </c>
      <c r="O23" s="94">
        <v>304.90018148820326</v>
      </c>
      <c r="P23" s="94">
        <v>533.5753176043557</v>
      </c>
      <c r="Q23" s="94">
        <v>438.2940108892922</v>
      </c>
      <c r="R23" s="13">
        <v>724.1379310344828</v>
      </c>
      <c r="S23" s="37">
        <v>590.7441016333938</v>
      </c>
      <c r="W23" s="13"/>
      <c r="X23" s="46"/>
    </row>
    <row r="24" spans="1:24" ht="12.75">
      <c r="A24" s="28" t="s">
        <v>57</v>
      </c>
      <c r="B24" s="35"/>
      <c r="C24" s="141">
        <f>E24-'[1]US'!E24</f>
        <v>0</v>
      </c>
      <c r="D24" s="81">
        <f>F24-'[1]US'!F24</f>
        <v>0</v>
      </c>
      <c r="E24" s="159"/>
      <c r="F24" s="81"/>
      <c r="G24" s="81"/>
      <c r="H24" s="13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76.22504537205081</v>
      </c>
      <c r="R24" s="13">
        <v>0</v>
      </c>
      <c r="S24" s="37">
        <v>19.056261343012704</v>
      </c>
      <c r="W24" s="13"/>
      <c r="X24" s="46"/>
    </row>
    <row r="25" spans="1:24" ht="12.75">
      <c r="A25" s="28" t="s">
        <v>58</v>
      </c>
      <c r="B25" s="35">
        <f t="shared" si="0"/>
        <v>3.0150375939849625</v>
      </c>
      <c r="C25" s="141">
        <f>E25-'[1]US'!E25</f>
        <v>-133</v>
      </c>
      <c r="D25" s="81">
        <f>F25-'[1]US'!F25</f>
        <v>-58</v>
      </c>
      <c r="E25" s="159">
        <v>534</v>
      </c>
      <c r="F25" s="81">
        <v>133</v>
      </c>
      <c r="G25" s="81">
        <v>362</v>
      </c>
      <c r="H25" s="13">
        <v>19</v>
      </c>
      <c r="I25" s="94">
        <v>57</v>
      </c>
      <c r="J25" s="94">
        <v>57</v>
      </c>
      <c r="K25" s="94">
        <v>57</v>
      </c>
      <c r="L25" s="94">
        <v>0</v>
      </c>
      <c r="M25" s="94">
        <v>95</v>
      </c>
      <c r="N25" s="94">
        <v>191</v>
      </c>
      <c r="O25" s="94">
        <v>228.67513611615246</v>
      </c>
      <c r="P25" s="94">
        <v>19.056261343012704</v>
      </c>
      <c r="Q25" s="94">
        <v>57.168784029038115</v>
      </c>
      <c r="R25" s="13">
        <v>19.056261343012704</v>
      </c>
      <c r="S25" s="37">
        <v>38.11252268602541</v>
      </c>
      <c r="W25" s="13"/>
      <c r="X25" s="46"/>
    </row>
    <row r="26" spans="1:24" ht="13.5" thickBot="1">
      <c r="A26" s="30" t="s">
        <v>59</v>
      </c>
      <c r="B26" s="35">
        <f t="shared" si="0"/>
        <v>-0.11229084440491412</v>
      </c>
      <c r="C26" s="142">
        <f>E26-'[1]US'!E26</f>
        <v>-26718</v>
      </c>
      <c r="D26" s="82">
        <f>F26-'[1]US'!F26</f>
        <v>-27061</v>
      </c>
      <c r="E26" s="56">
        <f>51242+12634</f>
        <v>63876</v>
      </c>
      <c r="F26" s="82">
        <f>(13930+58026)</f>
        <v>71956</v>
      </c>
      <c r="G26" s="82">
        <f>39332+9376</f>
        <v>48708</v>
      </c>
      <c r="H26" s="15">
        <v>107325</v>
      </c>
      <c r="I26" s="95">
        <v>60466</v>
      </c>
      <c r="J26" s="95">
        <v>52652</v>
      </c>
      <c r="K26" s="95">
        <v>47564</v>
      </c>
      <c r="L26" s="95">
        <v>36721</v>
      </c>
      <c r="M26" s="95">
        <v>22925</v>
      </c>
      <c r="N26" s="95">
        <v>14140</v>
      </c>
      <c r="O26" s="95">
        <v>15187.840290381126</v>
      </c>
      <c r="P26" s="95">
        <v>17341.19782214156</v>
      </c>
      <c r="Q26" s="95">
        <v>19170.59891107078</v>
      </c>
      <c r="R26" s="15">
        <v>11662.431941923775</v>
      </c>
      <c r="S26" s="39">
        <v>14196.914700544465</v>
      </c>
      <c r="W26" s="13"/>
      <c r="X26" s="46"/>
    </row>
    <row r="27" spans="1:19" ht="13.5" thickBot="1">
      <c r="A27" s="45" t="s">
        <v>23</v>
      </c>
      <c r="B27" s="156">
        <f t="shared" si="0"/>
        <v>-0.1283815828607818</v>
      </c>
      <c r="C27" s="167">
        <f>E27-'[1]US'!E27</f>
        <v>-278985</v>
      </c>
      <c r="D27" s="42">
        <f>F27-'[1]US'!F27</f>
        <v>-297725</v>
      </c>
      <c r="E27" s="115">
        <f aca="true" t="shared" si="1" ref="E27:K27">SUM(E2:E26)</f>
        <v>975891</v>
      </c>
      <c r="F27" s="42">
        <f t="shared" si="1"/>
        <v>1119631</v>
      </c>
      <c r="G27" s="42">
        <f t="shared" si="1"/>
        <v>975375</v>
      </c>
      <c r="H27" s="42">
        <f t="shared" si="1"/>
        <v>1168418</v>
      </c>
      <c r="I27" s="42">
        <f t="shared" si="1"/>
        <v>1010877</v>
      </c>
      <c r="J27" s="42">
        <f t="shared" si="1"/>
        <v>896160</v>
      </c>
      <c r="K27" s="42">
        <f t="shared" si="1"/>
        <v>1164834</v>
      </c>
      <c r="L27" s="42">
        <f aca="true" t="shared" si="2" ref="L27:S27">SUM(L2:L26)</f>
        <v>917098</v>
      </c>
      <c r="M27" s="42">
        <f t="shared" si="2"/>
        <v>946392</v>
      </c>
      <c r="N27" s="42">
        <f t="shared" si="2"/>
        <v>806040</v>
      </c>
      <c r="O27" s="42">
        <f t="shared" si="2"/>
        <v>786756.8058076225</v>
      </c>
      <c r="P27" s="42">
        <f t="shared" si="2"/>
        <v>808099.8185117968</v>
      </c>
      <c r="Q27" s="42">
        <f t="shared" si="2"/>
        <v>919235.9346642469</v>
      </c>
      <c r="R27" s="42">
        <f t="shared" si="2"/>
        <v>686406.5335753177</v>
      </c>
      <c r="S27" s="43">
        <f t="shared" si="2"/>
        <v>689989.110707804</v>
      </c>
    </row>
    <row r="28" spans="2:17" s="9" customFormat="1" ht="12.75">
      <c r="B28" s="44"/>
      <c r="C28" s="44"/>
      <c r="D28" s="44"/>
      <c r="E28" s="44"/>
      <c r="F28" s="44"/>
      <c r="G28" s="44"/>
      <c r="H28" s="44"/>
      <c r="I28" s="44"/>
      <c r="J28" s="12"/>
      <c r="K28" s="12"/>
      <c r="L28" s="12"/>
      <c r="M28" s="12"/>
      <c r="N28" s="12"/>
      <c r="O28" s="12"/>
      <c r="P28" s="12"/>
      <c r="Q28" s="12"/>
    </row>
    <row r="29" spans="2:17" s="9" customFormat="1" ht="13.5" thickBot="1">
      <c r="B29" s="44"/>
      <c r="C29" s="44"/>
      <c r="D29" s="44"/>
      <c r="E29" s="44"/>
      <c r="F29" s="44"/>
      <c r="G29" s="44"/>
      <c r="H29" s="44"/>
      <c r="I29" s="44"/>
      <c r="J29" s="12"/>
      <c r="K29" s="12"/>
      <c r="L29" s="12"/>
      <c r="M29" s="12"/>
      <c r="N29" s="12"/>
      <c r="O29" s="12"/>
      <c r="P29" s="12"/>
      <c r="Q29" s="12"/>
    </row>
    <row r="30" spans="1:19" s="16" customFormat="1" ht="13.5" thickBot="1">
      <c r="A30" s="31" t="s">
        <v>25</v>
      </c>
      <c r="B30" s="32" t="s">
        <v>178</v>
      </c>
      <c r="C30" s="162" t="s">
        <v>177</v>
      </c>
      <c r="D30" s="93" t="s">
        <v>171</v>
      </c>
      <c r="E30" s="165">
        <v>44287</v>
      </c>
      <c r="F30" s="132">
        <v>43922</v>
      </c>
      <c r="G30" s="132">
        <v>43556</v>
      </c>
      <c r="H30" s="132">
        <v>43191</v>
      </c>
      <c r="I30" s="33">
        <v>42826</v>
      </c>
      <c r="J30" s="33">
        <v>42461</v>
      </c>
      <c r="K30" s="33">
        <v>42095</v>
      </c>
      <c r="L30" s="33">
        <v>41730</v>
      </c>
      <c r="M30" s="33">
        <v>41365</v>
      </c>
      <c r="N30" s="33">
        <v>41000</v>
      </c>
      <c r="O30" s="33">
        <v>40634</v>
      </c>
      <c r="P30" s="33">
        <v>40269</v>
      </c>
      <c r="Q30" s="33">
        <v>39904</v>
      </c>
      <c r="R30" s="33">
        <v>39539</v>
      </c>
      <c r="S30" s="34">
        <v>39173</v>
      </c>
    </row>
    <row r="31" spans="1:19" ht="12.75">
      <c r="A31" s="27" t="s">
        <v>41</v>
      </c>
      <c r="B31" s="35">
        <f aca="true" t="shared" si="3" ref="B31:B41">(E31-F31)/F31</f>
        <v>-0.07105819704215013</v>
      </c>
      <c r="C31" s="141">
        <f>E31-'[1]US'!E31</f>
        <v>-19100.020000000004</v>
      </c>
      <c r="D31" s="81">
        <f>F31-'[1]US'!F31</f>
        <v>-18670.339999999997</v>
      </c>
      <c r="E31" s="159">
        <v>49933</v>
      </c>
      <c r="F31" s="81">
        <v>53752.56</v>
      </c>
      <c r="G31" s="81">
        <v>55255</v>
      </c>
      <c r="H31" s="13">
        <v>50746.32</v>
      </c>
      <c r="I31" s="13">
        <v>45305.42</v>
      </c>
      <c r="J31" s="13">
        <v>39072.84</v>
      </c>
      <c r="K31" s="13">
        <v>64343.18</v>
      </c>
      <c r="L31" s="13">
        <v>57674.68</v>
      </c>
      <c r="M31" s="13">
        <v>51093.88</v>
      </c>
      <c r="N31" s="13">
        <v>66380.48</v>
      </c>
      <c r="O31" s="13">
        <v>59116.16</v>
      </c>
      <c r="P31" s="13">
        <v>56464.34</v>
      </c>
      <c r="Q31" s="13">
        <v>43632.4</v>
      </c>
      <c r="R31" s="13">
        <v>50935.24</v>
      </c>
      <c r="S31" s="37">
        <v>30827.6</v>
      </c>
    </row>
    <row r="32" spans="1:19" ht="12.75">
      <c r="A32" s="27" t="s">
        <v>42</v>
      </c>
      <c r="B32" s="35">
        <f t="shared" si="3"/>
        <v>1.5759619345042324</v>
      </c>
      <c r="C32" s="141">
        <f>E32-'[1]US'!E32</f>
        <v>-6514.58</v>
      </c>
      <c r="D32" s="81">
        <f>F32-'[1]US'!F32</f>
        <v>-4771.86</v>
      </c>
      <c r="E32" s="159">
        <v>8380.48</v>
      </c>
      <c r="F32" s="81">
        <v>3253.34</v>
      </c>
      <c r="G32" s="81">
        <v>10086</v>
      </c>
      <c r="H32" s="13">
        <v>1915.32</v>
      </c>
      <c r="I32" s="13">
        <v>7533.16</v>
      </c>
      <c r="J32" s="13">
        <v>6274.02</v>
      </c>
      <c r="K32" s="13">
        <v>5956.06</v>
      </c>
      <c r="L32" s="13">
        <v>6974.92</v>
      </c>
      <c r="M32" s="13">
        <v>1595.36</v>
      </c>
      <c r="N32" s="13">
        <v>10983.28</v>
      </c>
      <c r="O32" s="13">
        <v>1298.88</v>
      </c>
      <c r="P32" s="13">
        <v>2212.5</v>
      </c>
      <c r="Q32" s="13">
        <v>5489.88</v>
      </c>
      <c r="R32" s="13">
        <v>1641.96</v>
      </c>
      <c r="S32" s="37">
        <v>634.94</v>
      </c>
    </row>
    <row r="33" spans="1:19" ht="12.75">
      <c r="A33" s="27" t="s">
        <v>43</v>
      </c>
      <c r="B33" s="35">
        <f t="shared" si="3"/>
        <v>-0.154718433018538</v>
      </c>
      <c r="C33" s="141">
        <f>E33-'[1]US'!E33</f>
        <v>-1848</v>
      </c>
      <c r="D33" s="81">
        <f>F33-'[1]US'!F33</f>
        <v>-2832.5</v>
      </c>
      <c r="E33" s="159">
        <v>4833.32</v>
      </c>
      <c r="F33" s="81">
        <v>5718</v>
      </c>
      <c r="G33" s="81">
        <v>5424</v>
      </c>
      <c r="H33" s="13">
        <v>4505.98</v>
      </c>
      <c r="I33" s="13">
        <v>4949.78</v>
      </c>
      <c r="J33" s="13">
        <v>1749.2</v>
      </c>
      <c r="K33" s="13">
        <v>5960.62</v>
      </c>
      <c r="L33" s="13">
        <v>4497.58</v>
      </c>
      <c r="M33" s="13">
        <v>3113.86</v>
      </c>
      <c r="N33" s="13">
        <v>4775.12</v>
      </c>
      <c r="O33" s="13">
        <v>3670.46</v>
      </c>
      <c r="P33" s="13">
        <v>2345</v>
      </c>
      <c r="Q33" s="13">
        <v>4424.98</v>
      </c>
      <c r="R33" s="13">
        <v>3653.84</v>
      </c>
      <c r="S33" s="37">
        <v>2265.58</v>
      </c>
    </row>
    <row r="34" spans="1:19" ht="12.75">
      <c r="A34" s="27" t="s">
        <v>44</v>
      </c>
      <c r="B34" s="35">
        <f t="shared" si="3"/>
        <v>-1</v>
      </c>
      <c r="C34" s="141">
        <f>E34-'[1]US'!E34</f>
        <v>-0.34</v>
      </c>
      <c r="D34" s="81">
        <f>F34-'[1]US'!F34</f>
        <v>-93.06</v>
      </c>
      <c r="E34" s="159">
        <v>0</v>
      </c>
      <c r="F34" s="81">
        <v>11.1</v>
      </c>
      <c r="G34" s="81">
        <v>6</v>
      </c>
      <c r="H34" s="13">
        <v>0</v>
      </c>
      <c r="I34" s="13">
        <v>1.54</v>
      </c>
      <c r="J34" s="13">
        <v>0</v>
      </c>
      <c r="K34" s="13">
        <v>29.58</v>
      </c>
      <c r="L34" s="13">
        <v>84.3</v>
      </c>
      <c r="M34" s="13">
        <v>12.5</v>
      </c>
      <c r="N34" s="13">
        <v>253.6</v>
      </c>
      <c r="O34" s="13">
        <v>15.42</v>
      </c>
      <c r="P34" s="13">
        <v>0.52</v>
      </c>
      <c r="Q34" s="13">
        <v>90.98</v>
      </c>
      <c r="R34" s="13">
        <v>1.96</v>
      </c>
      <c r="S34" s="37">
        <v>28.06</v>
      </c>
    </row>
    <row r="35" spans="1:19" ht="12.75">
      <c r="A35" s="53" t="s">
        <v>151</v>
      </c>
      <c r="B35" s="35"/>
      <c r="C35" s="141">
        <f>E35-'[1]US'!E35</f>
        <v>0</v>
      </c>
      <c r="D35" s="81">
        <f>F35-'[1]US'!F35</f>
        <v>0</v>
      </c>
      <c r="E35" s="159">
        <v>0</v>
      </c>
      <c r="F35" s="81">
        <v>0</v>
      </c>
      <c r="G35" s="81">
        <v>4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70.06</v>
      </c>
      <c r="O35" s="13">
        <v>0</v>
      </c>
      <c r="P35" s="13"/>
      <c r="Q35" s="13"/>
      <c r="R35" s="13"/>
      <c r="S35" s="37"/>
    </row>
    <row r="36" spans="1:19" ht="12.75">
      <c r="A36" s="27" t="s">
        <v>45</v>
      </c>
      <c r="B36" s="35"/>
      <c r="C36" s="141">
        <f>E36-'[1]US'!E36</f>
        <v>-37</v>
      </c>
      <c r="D36" s="81">
        <f>F36-'[1]US'!F36</f>
        <v>-4</v>
      </c>
      <c r="E36" s="159">
        <v>0</v>
      </c>
      <c r="F36" s="81">
        <v>0</v>
      </c>
      <c r="G36" s="81">
        <v>1</v>
      </c>
      <c r="H36" s="13">
        <v>14</v>
      </c>
      <c r="I36" s="13">
        <v>0</v>
      </c>
      <c r="J36" s="13">
        <v>0</v>
      </c>
      <c r="K36" s="13">
        <v>7</v>
      </c>
      <c r="L36" s="13">
        <v>46.86</v>
      </c>
      <c r="M36" s="13">
        <v>0.68</v>
      </c>
      <c r="N36" s="13">
        <v>21.34</v>
      </c>
      <c r="O36" s="13">
        <v>5.6</v>
      </c>
      <c r="P36" s="13">
        <v>11.22</v>
      </c>
      <c r="Q36" s="13">
        <v>0</v>
      </c>
      <c r="R36" s="13">
        <v>0</v>
      </c>
      <c r="S36" s="37">
        <v>13.18</v>
      </c>
    </row>
    <row r="37" spans="1:19" ht="12.75">
      <c r="A37" s="53" t="s">
        <v>165</v>
      </c>
      <c r="B37" s="35"/>
      <c r="C37" s="141">
        <f>E37-'[1]US'!E37</f>
        <v>0</v>
      </c>
      <c r="D37" s="81">
        <f>F37-'[1]US'!F37</f>
        <v>-8</v>
      </c>
      <c r="E37" s="159">
        <v>0</v>
      </c>
      <c r="F37" s="81">
        <v>0</v>
      </c>
      <c r="G37" s="81">
        <v>2</v>
      </c>
      <c r="H37" s="13">
        <v>0</v>
      </c>
      <c r="I37" s="13">
        <v>4</v>
      </c>
      <c r="J37" s="13">
        <v>0</v>
      </c>
      <c r="K37" s="13"/>
      <c r="L37" s="13"/>
      <c r="M37" s="13"/>
      <c r="N37" s="13"/>
      <c r="O37" s="13"/>
      <c r="P37" s="13"/>
      <c r="Q37" s="13"/>
      <c r="R37" s="13"/>
      <c r="S37" s="37"/>
    </row>
    <row r="38" spans="1:19" ht="12.75">
      <c r="A38" s="27" t="s">
        <v>46</v>
      </c>
      <c r="B38" s="35"/>
      <c r="C38" s="141">
        <f>E38-'[1]US'!E38</f>
        <v>0</v>
      </c>
      <c r="D38" s="81">
        <f>F38-'[1]US'!F38</f>
        <v>0</v>
      </c>
      <c r="E38" s="159">
        <v>0</v>
      </c>
      <c r="F38" s="81"/>
      <c r="G38" s="81"/>
      <c r="H38" s="13">
        <v>0</v>
      </c>
      <c r="I38" s="13">
        <v>0</v>
      </c>
      <c r="J38" s="13">
        <v>0</v>
      </c>
      <c r="K38" s="13"/>
      <c r="L38" s="13"/>
      <c r="M38" s="13"/>
      <c r="N38" s="13">
        <v>21.24</v>
      </c>
      <c r="O38" s="13">
        <v>0</v>
      </c>
      <c r="P38" s="13">
        <v>6.14</v>
      </c>
      <c r="Q38" s="13">
        <v>16.26</v>
      </c>
      <c r="R38" s="13">
        <v>0</v>
      </c>
      <c r="S38" s="37">
        <v>0</v>
      </c>
    </row>
    <row r="39" spans="1:19" ht="12.75">
      <c r="A39" s="27" t="s">
        <v>48</v>
      </c>
      <c r="B39" s="35"/>
      <c r="C39" s="141">
        <f>E39-'[1]US'!E39</f>
        <v>-4</v>
      </c>
      <c r="D39" s="81">
        <f>F39-'[1]US'!F39</f>
        <v>0</v>
      </c>
      <c r="E39" s="159">
        <v>0</v>
      </c>
      <c r="F39" s="81">
        <v>0</v>
      </c>
      <c r="G39" s="81">
        <v>13</v>
      </c>
      <c r="H39" s="13">
        <v>14.68</v>
      </c>
      <c r="I39" s="94">
        <v>6</v>
      </c>
      <c r="J39" s="13">
        <v>30.26</v>
      </c>
      <c r="K39" s="13">
        <v>64.28</v>
      </c>
      <c r="L39" s="13">
        <v>18.64</v>
      </c>
      <c r="M39" s="13">
        <v>54.72</v>
      </c>
      <c r="N39" s="13">
        <v>7.14</v>
      </c>
      <c r="O39" s="13">
        <v>0.08</v>
      </c>
      <c r="P39" s="13">
        <v>0.74</v>
      </c>
      <c r="Q39" s="13">
        <v>116.66</v>
      </c>
      <c r="R39" s="13">
        <v>49.3</v>
      </c>
      <c r="S39" s="37">
        <v>189.06</v>
      </c>
    </row>
    <row r="40" spans="1:19" ht="13.5" thickBot="1">
      <c r="A40" s="38" t="s">
        <v>47</v>
      </c>
      <c r="B40" s="36"/>
      <c r="C40" s="142">
        <f>E40-'[1]US'!E40</f>
        <v>-1638.44</v>
      </c>
      <c r="D40" s="82">
        <f>F40-'[1]US'!F40</f>
        <v>-74.92</v>
      </c>
      <c r="E40" s="56">
        <v>0</v>
      </c>
      <c r="F40" s="82">
        <v>0</v>
      </c>
      <c r="G40" s="82">
        <v>0</v>
      </c>
      <c r="H40" s="15">
        <v>13.54</v>
      </c>
      <c r="I40" s="95">
        <v>0</v>
      </c>
      <c r="J40" s="95">
        <v>0</v>
      </c>
      <c r="K40" s="9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3</v>
      </c>
      <c r="S40" s="39">
        <v>0</v>
      </c>
    </row>
    <row r="41" spans="1:19" ht="13.5" thickBot="1">
      <c r="A41" s="40" t="s">
        <v>23</v>
      </c>
      <c r="B41" s="41">
        <f t="shared" si="3"/>
        <v>0.00656411891288759</v>
      </c>
      <c r="C41" s="167">
        <f>E41-'[1]US'!E41</f>
        <v>-29142.379999999997</v>
      </c>
      <c r="D41" s="42">
        <f>F41-'[1]US'!F41</f>
        <v>-26454.68</v>
      </c>
      <c r="E41" s="115">
        <f aca="true" t="shared" si="4" ref="E41:K41">SUM(E31:E40)</f>
        <v>63146.799999999996</v>
      </c>
      <c r="F41" s="42">
        <f t="shared" si="4"/>
        <v>62734.99999999999</v>
      </c>
      <c r="G41" s="42">
        <f t="shared" si="4"/>
        <v>70791</v>
      </c>
      <c r="H41" s="42">
        <f t="shared" si="4"/>
        <v>57209.84</v>
      </c>
      <c r="I41" s="42">
        <f t="shared" si="4"/>
        <v>57799.9</v>
      </c>
      <c r="J41" s="42">
        <f t="shared" si="4"/>
        <v>47126.32</v>
      </c>
      <c r="K41" s="42">
        <f t="shared" si="4"/>
        <v>76360.72</v>
      </c>
      <c r="L41" s="42">
        <f aca="true" t="shared" si="5" ref="L41:S41">SUM(L31:L40)</f>
        <v>69296.98</v>
      </c>
      <c r="M41" s="42">
        <f t="shared" si="5"/>
        <v>55871</v>
      </c>
      <c r="N41" s="42">
        <f t="shared" si="5"/>
        <v>82512.26</v>
      </c>
      <c r="O41" s="42">
        <f t="shared" si="5"/>
        <v>64106.6</v>
      </c>
      <c r="P41" s="42">
        <f t="shared" si="5"/>
        <v>61040.45999999999</v>
      </c>
      <c r="Q41" s="42">
        <f t="shared" si="5"/>
        <v>53771.16</v>
      </c>
      <c r="R41" s="42">
        <f t="shared" si="5"/>
        <v>56285.299999999996</v>
      </c>
      <c r="S41" s="42">
        <f t="shared" si="5"/>
        <v>33958.41999999999</v>
      </c>
    </row>
    <row r="48" spans="18:20" ht="18">
      <c r="R48" s="5"/>
      <c r="S48" s="1"/>
      <c r="T48" s="1"/>
    </row>
    <row r="49" spans="18:20" ht="18">
      <c r="R49" s="5"/>
      <c r="S49" s="1"/>
      <c r="T49" s="1"/>
    </row>
    <row r="50" spans="18:20" ht="18">
      <c r="R50" s="5"/>
      <c r="S50" s="1"/>
      <c r="T50" s="1"/>
    </row>
    <row r="51" spans="18:20" ht="18">
      <c r="R51" s="5"/>
      <c r="S51" s="1"/>
      <c r="T51" s="1"/>
    </row>
    <row r="52" spans="18:20" ht="18">
      <c r="R52" s="5"/>
      <c r="S52" s="1"/>
      <c r="T52" s="1"/>
    </row>
    <row r="53" spans="18:20" ht="18">
      <c r="R53" s="5"/>
      <c r="S53" s="1"/>
      <c r="T53" s="1"/>
    </row>
    <row r="54" spans="18:20" ht="18">
      <c r="R54" s="5"/>
      <c r="S54" s="1"/>
      <c r="T54" s="1"/>
    </row>
    <row r="55" spans="18:20" ht="18">
      <c r="R55" s="5"/>
      <c r="S55" s="1"/>
      <c r="T55" s="1"/>
    </row>
    <row r="56" spans="18:20" ht="18">
      <c r="R56" s="5"/>
      <c r="S56" s="1"/>
      <c r="T56" s="1"/>
    </row>
    <row r="57" spans="18:20" ht="18">
      <c r="R57" s="5"/>
      <c r="S57" s="1"/>
      <c r="T57" s="1"/>
    </row>
    <row r="58" spans="18:20" ht="18">
      <c r="R58" s="6"/>
      <c r="S58" s="1"/>
      <c r="T58" s="1"/>
    </row>
    <row r="59" spans="18:20" ht="18">
      <c r="R59" s="7"/>
      <c r="S59" s="2"/>
      <c r="T59" s="2"/>
    </row>
  </sheetData>
  <sheetProtection/>
  <printOptions/>
  <pageMargins left="0.75" right="0.75" top="1" bottom="1" header="0.5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tabSelected="1" zoomScale="89" zoomScaleNormal="89" zoomScalePageLayoutView="0" workbookViewId="0" topLeftCell="A1">
      <selection activeCell="E39" sqref="E39"/>
    </sheetView>
  </sheetViews>
  <sheetFormatPr defaultColWidth="8.8515625" defaultRowHeight="12.75"/>
  <cols>
    <col min="1" max="1" width="21.8515625" style="0" customWidth="1"/>
    <col min="2" max="2" width="10.8515625" style="16" customWidth="1"/>
    <col min="3" max="3" width="11.7109375" style="16" bestFit="1" customWidth="1"/>
    <col min="4" max="4" width="11.7109375" style="12" bestFit="1" customWidth="1"/>
    <col min="5" max="7" width="11.7109375" style="12" customWidth="1"/>
    <col min="8" max="8" width="11.8515625" style="12" customWidth="1"/>
    <col min="9" max="9" width="10.8515625" style="16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32" t="s">
        <v>178</v>
      </c>
      <c r="C1" s="162" t="s">
        <v>177</v>
      </c>
      <c r="D1" s="93" t="s">
        <v>171</v>
      </c>
      <c r="E1" s="165">
        <v>44287</v>
      </c>
      <c r="F1" s="132">
        <v>43922</v>
      </c>
      <c r="G1" s="132">
        <v>43556</v>
      </c>
      <c r="H1" s="132">
        <v>43191</v>
      </c>
      <c r="I1" s="33">
        <v>42826</v>
      </c>
      <c r="J1" s="33">
        <v>42461</v>
      </c>
      <c r="K1" s="33">
        <v>42095</v>
      </c>
      <c r="L1" s="33">
        <v>41730</v>
      </c>
      <c r="M1" s="33">
        <v>41365</v>
      </c>
      <c r="N1" s="33">
        <v>41000</v>
      </c>
      <c r="O1" s="33">
        <v>40634</v>
      </c>
      <c r="P1" s="33">
        <v>40269</v>
      </c>
      <c r="Q1" s="33">
        <v>39904</v>
      </c>
      <c r="R1" s="33">
        <v>39539</v>
      </c>
      <c r="S1" s="34">
        <v>39173</v>
      </c>
    </row>
    <row r="2" spans="1:21" ht="12.75">
      <c r="A2" s="27" t="s">
        <v>8</v>
      </c>
      <c r="B2" s="35">
        <f>(E2-F2)/F2</f>
        <v>0.3405602767716168</v>
      </c>
      <c r="C2" s="140">
        <f>E2-'[1]EU - country'!E2</f>
        <v>-12218.100000000013</v>
      </c>
      <c r="D2" s="13">
        <f>F2-'[1]EU - country'!F2</f>
        <v>-18445.480000000003</v>
      </c>
      <c r="E2" s="122">
        <f>Austria!E$21</f>
        <v>57735.24999999999</v>
      </c>
      <c r="F2" s="13">
        <f>Austria!F$21</f>
        <v>43068</v>
      </c>
      <c r="G2" s="13">
        <f>Austria!G$21</f>
        <v>73183.84</v>
      </c>
      <c r="H2" s="13">
        <f>Austria!H$21</f>
        <v>27178</v>
      </c>
      <c r="I2" s="13">
        <f>Austria!I$21</f>
        <v>13851.8</v>
      </c>
      <c r="J2" s="13">
        <f>Austria!J$21</f>
        <v>76315.62</v>
      </c>
      <c r="K2" s="13">
        <f>Austria!K$21</f>
        <v>76178.22</v>
      </c>
      <c r="L2" s="13">
        <f>Austria!L$21</f>
        <v>77032</v>
      </c>
      <c r="M2" s="13">
        <f>Austria!M$21</f>
        <v>56929.32000000001</v>
      </c>
      <c r="N2" s="13">
        <f>Austria!N$21</f>
        <v>86832</v>
      </c>
      <c r="O2" s="13">
        <f>Austria!O$21</f>
        <v>78526</v>
      </c>
      <c r="P2" s="13">
        <f>Austria!P$21</f>
        <v>82632</v>
      </c>
      <c r="Q2" s="13">
        <v>78965</v>
      </c>
      <c r="R2" s="13">
        <v>62632</v>
      </c>
      <c r="S2" s="47">
        <v>60027</v>
      </c>
      <c r="U2" s="3"/>
    </row>
    <row r="3" spans="1:19" ht="12.75">
      <c r="A3" s="27" t="s">
        <v>0</v>
      </c>
      <c r="B3" s="35">
        <f aca="true" t="shared" si="0" ref="B3:B15">(E3-F3)/F3</f>
        <v>-0.32761652319966406</v>
      </c>
      <c r="C3" s="140">
        <f>E3-'[1]EU - country'!E3</f>
        <v>-10096</v>
      </c>
      <c r="D3" s="13">
        <f>F3-'[1]EU - country'!F3</f>
        <v>-14335</v>
      </c>
      <c r="E3" s="122">
        <f>Belgium!E$10</f>
        <v>51241</v>
      </c>
      <c r="F3" s="13">
        <f>Belgium!F$10</f>
        <v>76208</v>
      </c>
      <c r="G3" s="13">
        <f>Belgium!G$10</f>
        <v>73268</v>
      </c>
      <c r="H3" s="13">
        <f>Belgium!H$10</f>
        <v>8257</v>
      </c>
      <c r="I3" s="13">
        <f>Belgium!I$10</f>
        <v>45613</v>
      </c>
      <c r="J3" s="13">
        <f>Belgium!J$10</f>
        <v>88378</v>
      </c>
      <c r="K3" s="13">
        <f>Belgium!K$10</f>
        <v>102838</v>
      </c>
      <c r="L3" s="13">
        <f>Belgium!L$10</f>
        <v>55031</v>
      </c>
      <c r="M3" s="13">
        <f>Belgium!M$10</f>
        <v>45956</v>
      </c>
      <c r="N3" s="13">
        <f>Belgium!N$10</f>
        <v>56410</v>
      </c>
      <c r="O3" s="13">
        <f>Belgium!O$10</f>
        <v>59307.255145342984</v>
      </c>
      <c r="P3" s="13">
        <f>Belgium!P$10</f>
        <v>92731</v>
      </c>
      <c r="Q3" s="13">
        <v>136700</v>
      </c>
      <c r="R3" s="13">
        <v>128100</v>
      </c>
      <c r="S3" s="47">
        <v>112200</v>
      </c>
    </row>
    <row r="4" spans="1:21" ht="12.75">
      <c r="A4" s="27" t="s">
        <v>31</v>
      </c>
      <c r="B4" s="35">
        <f t="shared" si="0"/>
        <v>0.41141563207620835</v>
      </c>
      <c r="C4" s="140">
        <f>E4-'[1]EU - country'!E4</f>
        <v>-12294</v>
      </c>
      <c r="D4" s="13">
        <f>F4-'[1]EU - country'!F4</f>
        <v>-5326</v>
      </c>
      <c r="E4" s="122">
        <f>'Czech Republic'!E$12</f>
        <v>18076</v>
      </c>
      <c r="F4" s="13">
        <f>'Czech Republic'!F$12</f>
        <v>12807</v>
      </c>
      <c r="G4" s="13">
        <f>'Czech Republic'!G$12</f>
        <v>26740</v>
      </c>
      <c r="H4" s="13">
        <f>'Czech Republic'!H$12</f>
        <v>12952</v>
      </c>
      <c r="I4" s="13">
        <f>'Czech Republic'!I$12</f>
        <v>10518</v>
      </c>
      <c r="J4" s="13">
        <f>'Czech Republic'!J$12</f>
        <v>20007</v>
      </c>
      <c r="K4" s="13">
        <f>'Czech Republic'!K$12</f>
        <v>12168</v>
      </c>
      <c r="L4" s="13">
        <f>'Czech Republic'!L$12</f>
        <v>13775</v>
      </c>
      <c r="M4" s="13">
        <f>'Czech Republic'!M$12</f>
        <v>9819</v>
      </c>
      <c r="N4" s="13">
        <f>'Czech Republic'!N$12</f>
        <v>5977</v>
      </c>
      <c r="O4" s="13">
        <f>'Czech Republic'!O$12</f>
        <v>6570</v>
      </c>
      <c r="P4" s="13">
        <f>'Czech Republic'!P$12</f>
        <v>14995</v>
      </c>
      <c r="Q4" s="13">
        <v>16065</v>
      </c>
      <c r="R4" s="13">
        <v>5802</v>
      </c>
      <c r="S4" s="47">
        <v>13783</v>
      </c>
      <c r="U4" s="3"/>
    </row>
    <row r="5" spans="1:21" ht="12.75">
      <c r="A5" s="27" t="s">
        <v>40</v>
      </c>
      <c r="B5" s="35">
        <f t="shared" si="0"/>
        <v>1.2467948717948718</v>
      </c>
      <c r="C5" s="140">
        <f>E5-'[1]EU - country'!E5</f>
        <v>-1582</v>
      </c>
      <c r="D5" s="13">
        <f>F5-'[1]EU - country'!F5</f>
        <v>-1997</v>
      </c>
      <c r="E5" s="122">
        <f>Denmark!E$20</f>
        <v>1402</v>
      </c>
      <c r="F5" s="13">
        <f>Denmark!F$20</f>
        <v>624</v>
      </c>
      <c r="G5" s="13">
        <f>Denmark!G$20</f>
        <v>4451</v>
      </c>
      <c r="H5" s="13">
        <f>Denmark!H$20</f>
        <v>1474</v>
      </c>
      <c r="I5" s="13">
        <f>Denmark!I$20</f>
        <v>3374</v>
      </c>
      <c r="J5" s="13">
        <f>Denmark!J$20</f>
        <v>3650</v>
      </c>
      <c r="K5" s="13">
        <f>Denmark!K$20</f>
        <v>1926</v>
      </c>
      <c r="L5" s="13">
        <f>Denmark!L$20</f>
        <v>1196</v>
      </c>
      <c r="M5" s="13">
        <f>Denmark!M$20</f>
        <v>473</v>
      </c>
      <c r="N5" s="13">
        <f>Denmark!N$20</f>
        <v>1196</v>
      </c>
      <c r="O5" s="13">
        <f>Denmark!O$20</f>
        <v>466</v>
      </c>
      <c r="P5" s="13">
        <f>Denmark!P$20</f>
        <v>1347</v>
      </c>
      <c r="Q5" s="13">
        <v>1703</v>
      </c>
      <c r="R5" s="13">
        <v>338</v>
      </c>
      <c r="S5" s="47">
        <v>0</v>
      </c>
      <c r="U5" s="3"/>
    </row>
    <row r="6" spans="1:21" ht="15">
      <c r="A6" s="53" t="s">
        <v>132</v>
      </c>
      <c r="B6" s="35">
        <f t="shared" si="0"/>
        <v>-0.2858036347174487</v>
      </c>
      <c r="C6" s="140">
        <f>E6-'[1]EU - country'!E6</f>
        <v>-139311</v>
      </c>
      <c r="D6" s="13">
        <f>F6-'[1]EU - country'!F6</f>
        <v>-111156</v>
      </c>
      <c r="E6" s="122">
        <f>France!E$26</f>
        <v>239800</v>
      </c>
      <c r="F6" s="13">
        <f>France!F$26</f>
        <v>335762</v>
      </c>
      <c r="G6" s="13">
        <f>France!G$26</f>
        <v>305009</v>
      </c>
      <c r="H6" s="13">
        <f>France!H$26</f>
        <v>249925</v>
      </c>
      <c r="I6" s="81">
        <f>France!I$26</f>
        <v>263713</v>
      </c>
      <c r="J6" s="81">
        <f>France!J$26</f>
        <v>267758</v>
      </c>
      <c r="K6" s="81">
        <f>France!K$26</f>
        <v>244349</v>
      </c>
      <c r="L6" s="81">
        <f>France!L$26</f>
        <v>330952</v>
      </c>
      <c r="M6" s="81">
        <f>France!M$26</f>
        <v>141787</v>
      </c>
      <c r="N6" s="81">
        <f>France!N$26</f>
        <v>254670</v>
      </c>
      <c r="O6" s="81">
        <f>France!O$26</f>
        <v>250129</v>
      </c>
      <c r="P6" s="81">
        <f>France!P$26</f>
        <v>285689</v>
      </c>
      <c r="Q6" s="123"/>
      <c r="R6" s="123"/>
      <c r="S6" s="124"/>
      <c r="U6" s="3"/>
    </row>
    <row r="7" spans="1:21" ht="12.75">
      <c r="A7" s="27" t="s">
        <v>28</v>
      </c>
      <c r="B7" s="35">
        <f t="shared" si="0"/>
        <v>0.15003212150163903</v>
      </c>
      <c r="C7" s="140">
        <f>E7-'[1]EU - country'!E7</f>
        <v>-57487</v>
      </c>
      <c r="D7" s="13">
        <f>F7-'[1]EU - country'!F7</f>
        <v>-50629</v>
      </c>
      <c r="E7" s="122">
        <f>Germany!E$21</f>
        <v>139630</v>
      </c>
      <c r="F7" s="13">
        <f>Germany!F$21</f>
        <v>121414</v>
      </c>
      <c r="G7" s="13">
        <f>Germany!G$21</f>
        <v>188961</v>
      </c>
      <c r="H7" s="13">
        <f>Germany!H$21</f>
        <v>74908</v>
      </c>
      <c r="I7" s="13">
        <f>Germany!I$21</f>
        <v>178868</v>
      </c>
      <c r="J7" s="13">
        <f>Germany!J$21</f>
        <v>166316</v>
      </c>
      <c r="K7" s="13">
        <f>Germany!K$21</f>
        <v>176047</v>
      </c>
      <c r="L7" s="13">
        <f>Germany!L$21</f>
        <v>132550</v>
      </c>
      <c r="M7" s="13">
        <f>Germany!M$21</f>
        <v>153150</v>
      </c>
      <c r="N7" s="13">
        <f>Germany!N$21</f>
        <v>157895</v>
      </c>
      <c r="O7" s="13">
        <f>Germany!O$21</f>
        <v>114708</v>
      </c>
      <c r="P7" s="13">
        <f>Germany!P$21</f>
        <v>157794</v>
      </c>
      <c r="Q7" s="13">
        <v>137522</v>
      </c>
      <c r="R7" s="13">
        <v>113628</v>
      </c>
      <c r="S7" s="47">
        <v>121361</v>
      </c>
      <c r="U7" s="3"/>
    </row>
    <row r="8" spans="1:19" ht="12.75">
      <c r="A8" s="27" t="s">
        <v>16</v>
      </c>
      <c r="B8" s="35">
        <f t="shared" si="0"/>
        <v>0.09053516402488616</v>
      </c>
      <c r="C8" s="140">
        <f>E8-'[1]EU - country'!E8</f>
        <v>-224110.29000000004</v>
      </c>
      <c r="D8" s="13">
        <f>F8-'[1]EU - country'!F8</f>
        <v>-224322.993860767</v>
      </c>
      <c r="E8" s="122">
        <f>Italy!E20</f>
        <v>607116.2</v>
      </c>
      <c r="F8" s="13">
        <f>Italy!F20</f>
        <v>556714.006139233</v>
      </c>
      <c r="G8" s="13">
        <f>Italy!G$20</f>
        <v>692394.5999999999</v>
      </c>
      <c r="H8" s="13">
        <f>Italy!H$20</f>
        <v>326613</v>
      </c>
      <c r="I8" s="13">
        <f>Italy!I$20</f>
        <v>673776.6450000001</v>
      </c>
      <c r="J8" s="13">
        <f>Italy!J$20</f>
        <v>681203.5120000001</v>
      </c>
      <c r="K8" s="13">
        <f>Italy!K$20</f>
        <v>707376</v>
      </c>
      <c r="L8" s="13">
        <f>Italy!L$20</f>
        <v>608664</v>
      </c>
      <c r="M8" s="13">
        <f>Italy!M$20</f>
        <v>472911</v>
      </c>
      <c r="N8" s="13">
        <f>Italy!N$20</f>
        <v>596108</v>
      </c>
      <c r="O8" s="13">
        <f>Italy!O$20</f>
        <v>582902</v>
      </c>
      <c r="P8" s="13">
        <f>Italy!P$20</f>
        <v>585606.1599999999</v>
      </c>
      <c r="Q8" s="13">
        <v>615685.2000000001</v>
      </c>
      <c r="R8" s="13">
        <v>484917.1</v>
      </c>
      <c r="S8" s="47">
        <v>495348</v>
      </c>
    </row>
    <row r="9" spans="1:21" ht="12.75">
      <c r="A9" s="53" t="s">
        <v>32</v>
      </c>
      <c r="B9" s="35">
        <f t="shared" si="0"/>
        <v>0.7993920972644377</v>
      </c>
      <c r="C9" s="140">
        <f>E9-'[1]EU - country'!E9</f>
        <v>-245000</v>
      </c>
      <c r="D9" s="13">
        <f>F9-'[1]EU - country'!F9</f>
        <v>-143000</v>
      </c>
      <c r="E9" s="122">
        <f>Poland!E$18</f>
        <v>592000</v>
      </c>
      <c r="F9" s="13">
        <f>Poland!F$18</f>
        <v>329000</v>
      </c>
      <c r="G9" s="13">
        <f>Poland!G$18</f>
        <v>665000</v>
      </c>
      <c r="H9" s="13">
        <f>Poland!H$18</f>
        <v>286000</v>
      </c>
      <c r="I9" s="81">
        <f>Poland!I$18</f>
        <v>580000</v>
      </c>
      <c r="J9" s="81">
        <f>Poland!J$18</f>
        <v>595000</v>
      </c>
      <c r="K9" s="81">
        <f>Poland!K$18</f>
        <v>502000</v>
      </c>
      <c r="L9" s="81">
        <f>Poland!L$18</f>
        <v>495000</v>
      </c>
      <c r="M9" s="81">
        <f>Poland!M$18</f>
        <v>400000</v>
      </c>
      <c r="N9" s="81">
        <f>Poland!N$18</f>
        <v>385000</v>
      </c>
      <c r="O9" s="81">
        <f>Poland!O$18</f>
        <v>130000</v>
      </c>
      <c r="P9" s="81">
        <f>Poland!P$18</f>
        <v>250000</v>
      </c>
      <c r="Q9" s="81">
        <v>165000</v>
      </c>
      <c r="R9" s="81">
        <v>80000</v>
      </c>
      <c r="S9" s="83">
        <v>110000</v>
      </c>
      <c r="U9" s="3"/>
    </row>
    <row r="10" spans="1:21" ht="12.75">
      <c r="A10" s="53" t="s">
        <v>146</v>
      </c>
      <c r="B10" s="35"/>
      <c r="C10" s="140">
        <f>E10-'[1]EU - country'!E10</f>
        <v>0</v>
      </c>
      <c r="D10" s="13">
        <f>F10-'[1]EU - country'!F10</f>
        <v>0</v>
      </c>
      <c r="E10" s="122">
        <f>Portugal!E$9</f>
        <v>0</v>
      </c>
      <c r="F10" s="13">
        <f>Portugal!F$9</f>
        <v>0</v>
      </c>
      <c r="G10" s="13"/>
      <c r="H10" s="13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3"/>
      <c r="U10" s="3"/>
    </row>
    <row r="11" spans="1:21" ht="12.75">
      <c r="A11" s="27" t="s">
        <v>37</v>
      </c>
      <c r="B11" s="35">
        <f t="shared" si="0"/>
        <v>-0.3994170123461154</v>
      </c>
      <c r="C11" s="140">
        <f>E11-'[1]EU - country'!E11</f>
        <v>-25017.617144887205</v>
      </c>
      <c r="D11" s="13">
        <f>F11-'[1]EU - country'!F11</f>
        <v>-40464.96706965027</v>
      </c>
      <c r="E11" s="122">
        <f>Spain!E$8</f>
        <v>88447.89384625929</v>
      </c>
      <c r="F11" s="13">
        <f>Spain!F$8</f>
        <v>147270.06203051447</v>
      </c>
      <c r="G11" s="13">
        <f>Spain!G$8</f>
        <v>111614</v>
      </c>
      <c r="H11" s="13">
        <f>Spain!H$8</f>
        <v>88490</v>
      </c>
      <c r="I11" s="13">
        <f>Spain!I$8</f>
        <v>125751.73689310774</v>
      </c>
      <c r="J11" s="13">
        <f>Spain!J$8</f>
        <v>90361.60928809014</v>
      </c>
      <c r="K11" s="13">
        <f>Spain!K$8</f>
        <v>101100.77488239626</v>
      </c>
      <c r="L11" s="13">
        <f>Spain!L$8</f>
        <v>89872.26195159715</v>
      </c>
      <c r="M11" s="13">
        <f>Spain!M$8</f>
        <v>54084.79807091148</v>
      </c>
      <c r="N11" s="13">
        <f>Spain!N$8</f>
        <v>96055.34851783456</v>
      </c>
      <c r="O11" s="13">
        <f>Spain!O$8</f>
        <v>82666</v>
      </c>
      <c r="P11" s="13">
        <f>Spain!P$8</f>
        <v>74812.84927907008</v>
      </c>
      <c r="Q11" s="13">
        <v>106287.422811934</v>
      </c>
      <c r="R11" s="13">
        <v>76346</v>
      </c>
      <c r="S11" s="47">
        <v>64969</v>
      </c>
      <c r="U11" s="3"/>
    </row>
    <row r="12" spans="1:21" ht="12.75">
      <c r="A12" s="27" t="s">
        <v>60</v>
      </c>
      <c r="B12" s="35">
        <f t="shared" si="0"/>
        <v>0.10108467459762072</v>
      </c>
      <c r="C12" s="140">
        <f>E12-'[1]EU - country'!E12</f>
        <v>-9755</v>
      </c>
      <c r="D12" s="13">
        <f>F12-'[1]EU - country'!F12</f>
        <v>-9617</v>
      </c>
      <c r="E12" s="122">
        <f>Switzerland!E$19</f>
        <v>31469</v>
      </c>
      <c r="F12" s="13">
        <f>Switzerland!F$19</f>
        <v>28580</v>
      </c>
      <c r="G12" s="13">
        <f>Switzerland!G$19</f>
        <v>37244</v>
      </c>
      <c r="H12" s="13">
        <f>Switzerland!H$19</f>
        <v>13907</v>
      </c>
      <c r="I12" s="13">
        <f>Switzerland!I$19</f>
        <v>30918</v>
      </c>
      <c r="J12" s="13">
        <f>Switzerland!J$19</f>
        <v>30382</v>
      </c>
      <c r="K12" s="13">
        <f>Switzerland!K$19</f>
        <v>31764</v>
      </c>
      <c r="L12" s="13">
        <f>Switzerland!L$19</f>
        <v>31344</v>
      </c>
      <c r="M12" s="13">
        <f>Switzerland!M$19</f>
        <v>30154</v>
      </c>
      <c r="N12" s="13">
        <f>Switzerland!N$19</f>
        <v>35087</v>
      </c>
      <c r="O12" s="13">
        <f>Switzerland!O$19</f>
        <v>32973</v>
      </c>
      <c r="P12" s="13">
        <f>Switzerland!P$19</f>
        <v>34082</v>
      </c>
      <c r="Q12" s="13">
        <v>29195</v>
      </c>
      <c r="R12" s="13">
        <v>31751</v>
      </c>
      <c r="S12" s="47">
        <v>31042</v>
      </c>
      <c r="U12" s="3"/>
    </row>
    <row r="13" spans="1:19" ht="12.75">
      <c r="A13" s="27" t="s">
        <v>1</v>
      </c>
      <c r="B13" s="35">
        <f t="shared" si="0"/>
        <v>-0.33383010432190763</v>
      </c>
      <c r="C13" s="140">
        <f>E13-'[1]EU - country'!E13</f>
        <v>-18841</v>
      </c>
      <c r="D13" s="13">
        <f>F13-'[1]EU - country'!F13</f>
        <v>-25455</v>
      </c>
      <c r="E13" s="122">
        <f>Netherlands!E$8</f>
        <v>59451</v>
      </c>
      <c r="F13" s="13">
        <f>Netherlands!F$8</f>
        <v>89243</v>
      </c>
      <c r="G13" s="13">
        <f>Netherlands!G$8</f>
        <v>78571</v>
      </c>
      <c r="H13" s="13">
        <f>Netherlands!H$8</f>
        <v>55913</v>
      </c>
      <c r="I13" s="13">
        <f>Netherlands!I$8</f>
        <v>107718</v>
      </c>
      <c r="J13" s="13">
        <f>Netherlands!J$8</f>
        <v>108329</v>
      </c>
      <c r="K13" s="13">
        <f>Netherlands!K$8</f>
        <v>118613</v>
      </c>
      <c r="L13" s="13">
        <f>Netherlands!L$8</f>
        <v>106000</v>
      </c>
      <c r="M13" s="13">
        <f>Netherlands!M$8</f>
        <v>84000</v>
      </c>
      <c r="N13" s="13">
        <f>Netherlands!N$8</f>
        <v>132000</v>
      </c>
      <c r="O13" s="13">
        <f>Netherlands!O$8</f>
        <v>85000</v>
      </c>
      <c r="P13" s="13">
        <f>Netherlands!P$8</f>
        <v>125000</v>
      </c>
      <c r="Q13" s="13">
        <v>120000</v>
      </c>
      <c r="R13" s="13">
        <v>113000</v>
      </c>
      <c r="S13" s="47">
        <v>105000</v>
      </c>
    </row>
    <row r="14" spans="1:19" ht="13.5" thickBot="1">
      <c r="A14" s="38" t="s">
        <v>166</v>
      </c>
      <c r="B14" s="36">
        <f t="shared" si="0"/>
        <v>-0.026312977507079126</v>
      </c>
      <c r="C14" s="139">
        <f>E14-'[1]EU - country'!E14</f>
        <v>-21491</v>
      </c>
      <c r="D14" s="15">
        <f>F14-'[1]EU - country'!F14</f>
        <v>-23061</v>
      </c>
      <c r="E14" s="125">
        <f>UK!E$12</f>
        <v>36449</v>
      </c>
      <c r="F14" s="15">
        <f>UK!F$12</f>
        <v>37434</v>
      </c>
      <c r="G14" s="15">
        <f>UK!G$12</f>
        <v>41193</v>
      </c>
      <c r="H14" s="15">
        <f>UK!H$12</f>
        <v>28086</v>
      </c>
      <c r="I14" s="15">
        <f>UK!I$12</f>
        <v>33420</v>
      </c>
      <c r="J14" s="15">
        <f>UK!J$12</f>
        <v>37050</v>
      </c>
      <c r="K14" s="15">
        <f>UK!K$12</f>
        <v>35400</v>
      </c>
      <c r="L14" s="15">
        <f>UK!L$12</f>
        <v>37500</v>
      </c>
      <c r="M14" s="15">
        <f>UK!M$12</f>
        <v>12400</v>
      </c>
      <c r="N14" s="15">
        <f>UK!N$12</f>
        <v>32100</v>
      </c>
      <c r="O14" s="15">
        <f>UK!O$12</f>
        <v>31500</v>
      </c>
      <c r="P14" s="15">
        <f>UK!P$12</f>
        <v>31500</v>
      </c>
      <c r="Q14" s="15">
        <v>31000</v>
      </c>
      <c r="R14" s="15">
        <v>22500</v>
      </c>
      <c r="S14" s="48">
        <v>25000</v>
      </c>
    </row>
    <row r="15" spans="1:19" ht="13.5" thickBot="1">
      <c r="A15" s="40" t="s">
        <v>23</v>
      </c>
      <c r="B15" s="41">
        <f t="shared" si="0"/>
        <v>0.08137411683845373</v>
      </c>
      <c r="C15" s="169">
        <f>E15-'[1]EU - country'!E15</f>
        <v>-777203.007144887</v>
      </c>
      <c r="D15" s="42">
        <f>F15-'[1]EU - country'!F15</f>
        <v>-667809.4409304173</v>
      </c>
      <c r="E15" s="115">
        <f>SUM(E2:E14)</f>
        <v>1922817.3438462592</v>
      </c>
      <c r="F15" s="42">
        <f>SUM(F2:F14)</f>
        <v>1778124.0681697475</v>
      </c>
      <c r="G15" s="42">
        <f>SUM(G2:G14)</f>
        <v>2297629.44</v>
      </c>
      <c r="H15" s="42">
        <f aca="true" t="shared" si="1" ref="H15:M15">SUM(H2:H14)</f>
        <v>1173703</v>
      </c>
      <c r="I15" s="42">
        <f t="shared" si="1"/>
        <v>2067522.1818931077</v>
      </c>
      <c r="J15" s="42">
        <f t="shared" si="1"/>
        <v>2164750.74128809</v>
      </c>
      <c r="K15" s="42">
        <f t="shared" si="1"/>
        <v>2109759.9948823964</v>
      </c>
      <c r="L15" s="42">
        <f t="shared" si="1"/>
        <v>1978916.2619515972</v>
      </c>
      <c r="M15" s="42">
        <f t="shared" si="1"/>
        <v>1461664.1180709116</v>
      </c>
      <c r="N15" s="42">
        <f aca="true" t="shared" si="2" ref="N15:S15">SUM(N2:N14)</f>
        <v>1839330.3485178347</v>
      </c>
      <c r="O15" s="42">
        <f t="shared" si="2"/>
        <v>1454747.255145343</v>
      </c>
      <c r="P15" s="42">
        <f t="shared" si="2"/>
        <v>1736189.00927907</v>
      </c>
      <c r="Q15" s="42">
        <f t="shared" si="2"/>
        <v>1438122.6228119342</v>
      </c>
      <c r="R15" s="42">
        <f t="shared" si="2"/>
        <v>1119014.1</v>
      </c>
      <c r="S15" s="49">
        <f t="shared" si="2"/>
        <v>1138730</v>
      </c>
    </row>
    <row r="16" spans="1:19" s="9" customFormat="1" ht="12.75">
      <c r="A16" s="12"/>
      <c r="B16" s="44"/>
      <c r="C16" s="44"/>
      <c r="D16" s="44"/>
      <c r="E16" s="44"/>
      <c r="F16" s="44"/>
      <c r="G16" s="44"/>
      <c r="H16" s="44"/>
      <c r="I16" s="44"/>
      <c r="J16" s="12"/>
      <c r="K16" s="12"/>
      <c r="L16" s="12"/>
      <c r="M16" s="12"/>
      <c r="N16" s="12"/>
      <c r="O16" s="12"/>
      <c r="P16" s="12"/>
      <c r="Q16" s="12"/>
      <c r="R16" s="8"/>
      <c r="S16" s="8"/>
    </row>
    <row r="17" spans="1:19" s="9" customFormat="1" ht="13.5" thickBot="1">
      <c r="A17" s="12"/>
      <c r="B17" s="44"/>
      <c r="C17" s="44"/>
      <c r="D17" s="44"/>
      <c r="E17" s="44"/>
      <c r="F17" s="44"/>
      <c r="G17" s="44"/>
      <c r="H17" s="44"/>
      <c r="I17" s="44"/>
      <c r="J17" s="12"/>
      <c r="K17" s="12"/>
      <c r="L17" s="12"/>
      <c r="M17" s="12"/>
      <c r="N17" s="12"/>
      <c r="O17" s="12"/>
      <c r="P17" s="12"/>
      <c r="Q17" s="12"/>
      <c r="R17" s="8"/>
      <c r="S17" s="8"/>
    </row>
    <row r="18" spans="1:20" s="16" customFormat="1" ht="13.5" thickBot="1">
      <c r="A18" s="31" t="s">
        <v>25</v>
      </c>
      <c r="B18" s="32" t="s">
        <v>178</v>
      </c>
      <c r="C18" s="162" t="s">
        <v>177</v>
      </c>
      <c r="D18" s="93" t="s">
        <v>171</v>
      </c>
      <c r="E18" s="165">
        <v>44287</v>
      </c>
      <c r="F18" s="132">
        <v>43922</v>
      </c>
      <c r="G18" s="132">
        <v>43556</v>
      </c>
      <c r="H18" s="132">
        <v>43191</v>
      </c>
      <c r="I18" s="33">
        <v>42826</v>
      </c>
      <c r="J18" s="33">
        <v>42461</v>
      </c>
      <c r="K18" s="33">
        <v>42095</v>
      </c>
      <c r="L18" s="33">
        <v>41730</v>
      </c>
      <c r="M18" s="33">
        <v>41365</v>
      </c>
      <c r="N18" s="33">
        <v>41000</v>
      </c>
      <c r="O18" s="33">
        <v>40634</v>
      </c>
      <c r="P18" s="33">
        <v>40269</v>
      </c>
      <c r="Q18" s="33">
        <v>39904</v>
      </c>
      <c r="R18" s="33">
        <v>39539</v>
      </c>
      <c r="S18" s="34">
        <v>39173</v>
      </c>
      <c r="T18" s="12"/>
    </row>
    <row r="19" spans="1:19" ht="12.75">
      <c r="A19" s="27" t="s">
        <v>0</v>
      </c>
      <c r="B19" s="35">
        <f aca="true" t="shared" si="3" ref="B19:B31">(E19-F19)/F19</f>
        <v>0.5709278350515464</v>
      </c>
      <c r="C19" s="140">
        <f>E19-'[1]EU - country'!E19</f>
        <v>-64686</v>
      </c>
      <c r="D19" s="13">
        <f>F19-'[1]EU - country'!F19</f>
        <v>-36276</v>
      </c>
      <c r="E19" s="122">
        <f>Belgium!E$19</f>
        <v>91428</v>
      </c>
      <c r="F19" s="13">
        <f>Belgium!F$19</f>
        <v>58200</v>
      </c>
      <c r="G19" s="13">
        <f>Belgium!G$19</f>
        <v>71097</v>
      </c>
      <c r="H19" s="13">
        <f>Belgium!H$19</f>
        <v>40294</v>
      </c>
      <c r="I19" s="13">
        <f>Belgium!I$19</f>
        <v>57025</v>
      </c>
      <c r="J19" s="13">
        <f>Belgium!J$19</f>
        <v>86331</v>
      </c>
      <c r="K19" s="13">
        <f>Belgium!K$19</f>
        <v>66712</v>
      </c>
      <c r="L19" s="13">
        <f>Belgium!L$19</f>
        <v>38135</v>
      </c>
      <c r="M19" s="13">
        <f>Belgium!M$19</f>
        <v>29495</v>
      </c>
      <c r="N19" s="13">
        <f>Belgium!N$19</f>
        <v>34230</v>
      </c>
      <c r="O19" s="13">
        <f>Belgium!O$19</f>
        <v>50300</v>
      </c>
      <c r="P19" s="13">
        <v>44300</v>
      </c>
      <c r="Q19" s="13">
        <v>8500</v>
      </c>
      <c r="R19" s="13">
        <v>62800</v>
      </c>
      <c r="S19" s="47">
        <v>68000</v>
      </c>
    </row>
    <row r="20" spans="1:19" ht="12.75">
      <c r="A20" s="27" t="s">
        <v>31</v>
      </c>
      <c r="B20" s="35">
        <f t="shared" si="3"/>
        <v>0.26177285318559557</v>
      </c>
      <c r="C20" s="140">
        <f>E20-'[1]EU - country'!E20</f>
        <v>-623</v>
      </c>
      <c r="D20" s="13">
        <f>F20-'[1]EU - country'!F20</f>
        <v>-569</v>
      </c>
      <c r="E20" s="122">
        <f>'Czech Republic'!E$21</f>
        <v>911</v>
      </c>
      <c r="F20" s="13">
        <f>'Czech Republic'!F$21</f>
        <v>722</v>
      </c>
      <c r="G20" s="13">
        <f>'Czech Republic'!G$21</f>
        <v>1133</v>
      </c>
      <c r="H20" s="13">
        <f>'Czech Republic'!H$21</f>
        <v>845</v>
      </c>
      <c r="I20" s="13">
        <f>'Czech Republic'!I$21</f>
        <v>518</v>
      </c>
      <c r="J20" s="13">
        <f>'Czech Republic'!J$21</f>
        <v>706</v>
      </c>
      <c r="K20" s="13">
        <f>'Czech Republic'!K$21</f>
        <v>3</v>
      </c>
      <c r="L20" s="13">
        <f>'Czech Republic'!L$21</f>
        <v>917</v>
      </c>
      <c r="M20" s="13">
        <f>'Czech Republic'!M$21</f>
        <v>0</v>
      </c>
      <c r="N20" s="13">
        <f>'Czech Republic'!N$21</f>
        <v>16</v>
      </c>
      <c r="O20" s="13">
        <f>'Czech Republic'!O$21</f>
        <v>18</v>
      </c>
      <c r="P20" s="13">
        <v>0</v>
      </c>
      <c r="Q20" s="13">
        <v>0</v>
      </c>
      <c r="R20" s="13">
        <v>0</v>
      </c>
      <c r="S20" s="47">
        <v>0</v>
      </c>
    </row>
    <row r="21" spans="1:21" ht="12.75">
      <c r="A21" s="27" t="s">
        <v>40</v>
      </c>
      <c r="B21" s="35">
        <f t="shared" si="3"/>
        <v>-1</v>
      </c>
      <c r="C21" s="140">
        <f>E21-'[1]EU - country'!E21</f>
        <v>-19</v>
      </c>
      <c r="D21" s="13">
        <f>F21-'[1]EU - country'!F21</f>
        <v>-11</v>
      </c>
      <c r="E21" s="122">
        <f>Denmark!E$27</f>
        <v>0</v>
      </c>
      <c r="F21" s="13">
        <f>Denmark!F$27</f>
        <v>19</v>
      </c>
      <c r="G21" s="13">
        <f>Denmark!G$27</f>
        <v>121</v>
      </c>
      <c r="H21" s="13">
        <f>Denmark!H$27</f>
        <v>0</v>
      </c>
      <c r="I21" s="13">
        <f>Denmark!I$27</f>
        <v>0</v>
      </c>
      <c r="J21" s="13">
        <f>Denmark!J$27</f>
        <v>72</v>
      </c>
      <c r="K21" s="13">
        <f>Denmark!K$27</f>
        <v>0</v>
      </c>
      <c r="L21" s="13">
        <f>Denmark!L$27</f>
        <v>0</v>
      </c>
      <c r="M21" s="13">
        <f>Denmark!M$27</f>
        <v>0</v>
      </c>
      <c r="N21" s="13">
        <f>Denmark!N$27</f>
        <v>0</v>
      </c>
      <c r="O21" s="13">
        <f>Denmark!O$27</f>
        <v>0</v>
      </c>
      <c r="P21" s="13">
        <v>0</v>
      </c>
      <c r="Q21" s="13">
        <v>0</v>
      </c>
      <c r="R21" s="13">
        <v>0</v>
      </c>
      <c r="S21" s="47">
        <v>0</v>
      </c>
      <c r="U21" s="3"/>
    </row>
    <row r="22" spans="1:21" ht="12.75">
      <c r="A22" s="27" t="s">
        <v>132</v>
      </c>
      <c r="B22" s="35">
        <f t="shared" si="3"/>
        <v>0.3419421487603306</v>
      </c>
      <c r="C22" s="140">
        <f>E22-'[1]EU - country'!E22</f>
        <v>-2945</v>
      </c>
      <c r="D22" s="13">
        <f>F22-'[1]EU - country'!F22</f>
        <v>-1448</v>
      </c>
      <c r="E22" s="122">
        <f>France!E$38</f>
        <v>1299</v>
      </c>
      <c r="F22" s="13">
        <f>France!F$38</f>
        <v>968</v>
      </c>
      <c r="G22" s="13">
        <f>France!G$38</f>
        <v>1889</v>
      </c>
      <c r="H22" s="13">
        <f>France!H$38</f>
        <v>1499</v>
      </c>
      <c r="I22" s="13">
        <f>France!I$38</f>
        <v>1238</v>
      </c>
      <c r="J22" s="13">
        <f>France!J$38</f>
        <v>820</v>
      </c>
      <c r="K22" s="13">
        <f>France!K$38</f>
        <v>2068</v>
      </c>
      <c r="L22" s="13">
        <f>France!L$38</f>
        <v>2056</v>
      </c>
      <c r="M22" s="13">
        <f>France!M$38</f>
        <v>235</v>
      </c>
      <c r="N22" s="13">
        <f>France!N$38</f>
        <v>3695</v>
      </c>
      <c r="O22" s="13">
        <f>France!O$38</f>
        <v>0</v>
      </c>
      <c r="P22" s="13">
        <f>France!P$38</f>
        <v>0</v>
      </c>
      <c r="Q22" s="13">
        <f>France!Q$38</f>
        <v>0</v>
      </c>
      <c r="R22" s="13">
        <f>France!R$38</f>
        <v>0</v>
      </c>
      <c r="S22" s="47">
        <f>France!S$38</f>
        <v>0</v>
      </c>
      <c r="U22" s="3"/>
    </row>
    <row r="23" spans="1:21" ht="12.75">
      <c r="A23" s="27" t="s">
        <v>28</v>
      </c>
      <c r="B23" s="35">
        <f t="shared" si="3"/>
        <v>0.5532994923857868</v>
      </c>
      <c r="C23" s="140">
        <f>E23-'[1]EU - country'!E23</f>
        <v>-942</v>
      </c>
      <c r="D23" s="13">
        <f>F23-'[1]EU - country'!F23</f>
        <v>-746</v>
      </c>
      <c r="E23" s="122">
        <f>Germany!E$26</f>
        <v>612</v>
      </c>
      <c r="F23" s="13">
        <f>Germany!F$26</f>
        <v>394</v>
      </c>
      <c r="G23" s="13">
        <f>Germany!G$26</f>
        <v>821</v>
      </c>
      <c r="H23" s="13">
        <f>Germany!H$26</f>
        <v>393</v>
      </c>
      <c r="I23" s="13">
        <f>Germany!I$26</f>
        <v>53</v>
      </c>
      <c r="J23" s="13">
        <f>Germany!J$26</f>
        <v>119</v>
      </c>
      <c r="K23" s="13">
        <f>Germany!K$26</f>
        <v>585</v>
      </c>
      <c r="L23" s="13">
        <f>Germany!L$26</f>
        <v>360</v>
      </c>
      <c r="M23" s="13">
        <f>Germany!M$26</f>
        <v>66</v>
      </c>
      <c r="N23" s="13">
        <f>Germany!N$26</f>
        <v>361</v>
      </c>
      <c r="O23" s="13">
        <f>Germany!O$26</f>
        <v>9</v>
      </c>
      <c r="P23" s="13">
        <v>147</v>
      </c>
      <c r="Q23" s="13">
        <v>111</v>
      </c>
      <c r="R23" s="13">
        <v>184</v>
      </c>
      <c r="S23" s="47">
        <v>84</v>
      </c>
      <c r="U23" s="3"/>
    </row>
    <row r="24" spans="1:21" ht="12.75">
      <c r="A24" s="27" t="s">
        <v>16</v>
      </c>
      <c r="B24" s="35"/>
      <c r="C24" s="140">
        <f>E24-'[1]EU - country'!E24</f>
        <v>-41023.70930351982</v>
      </c>
      <c r="D24" s="13">
        <f>F24-'[1]EU - country'!F24</f>
        <v>0</v>
      </c>
      <c r="E24" s="122">
        <f>Italy!E$29</f>
        <v>43026.743484126084</v>
      </c>
      <c r="F24" s="13">
        <f>Italy!F$29</f>
        <v>0</v>
      </c>
      <c r="G24" s="13">
        <f>Italy!G$29</f>
        <v>49434.24177422475</v>
      </c>
      <c r="H24" s="13">
        <f>Italy!H$29</f>
        <v>55494.568382426565</v>
      </c>
      <c r="I24" s="13">
        <f>Italy!I$29</f>
        <v>34705.11771994747</v>
      </c>
      <c r="J24" s="13">
        <f>Italy!J$29</f>
        <v>60231.757266306835</v>
      </c>
      <c r="K24" s="13">
        <f>Italy!K$29</f>
        <v>38561.654174636344</v>
      </c>
      <c r="L24" s="13">
        <f>Italy!L$29</f>
        <v>70016</v>
      </c>
      <c r="M24" s="13">
        <f>Italy!M$29</f>
        <v>24763.962693378642</v>
      </c>
      <c r="N24" s="13">
        <f>Italy!N$29</f>
        <v>87321.61797359001</v>
      </c>
      <c r="O24" s="13">
        <f>Italy!O$29</f>
        <v>28136</v>
      </c>
      <c r="P24" s="13">
        <v>56285</v>
      </c>
      <c r="Q24" s="13">
        <v>35144</v>
      </c>
      <c r="R24" s="13">
        <v>36312</v>
      </c>
      <c r="S24" s="47">
        <v>45454</v>
      </c>
      <c r="U24" s="3"/>
    </row>
    <row r="25" spans="1:21" ht="12.75">
      <c r="A25" s="53" t="s">
        <v>32</v>
      </c>
      <c r="B25" s="35"/>
      <c r="C25" s="140">
        <f>E25-'[1]EU - country'!E25</f>
        <v>-1000</v>
      </c>
      <c r="D25" s="13">
        <f>F25-'[1]EU - country'!F25</f>
        <v>0</v>
      </c>
      <c r="E25" s="122">
        <f>Poland!E$25</f>
        <v>1000</v>
      </c>
      <c r="F25" s="13">
        <f>Poland!F$25</f>
        <v>0</v>
      </c>
      <c r="G25" s="13">
        <f>Poland!G$25</f>
        <v>0</v>
      </c>
      <c r="H25" s="13">
        <f>Poland!H$25</f>
        <v>0</v>
      </c>
      <c r="I25" s="81">
        <f>Poland!I$25</f>
        <v>0</v>
      </c>
      <c r="J25" s="81">
        <f>Poland!J$25</f>
        <v>1000</v>
      </c>
      <c r="K25" s="81">
        <f>Poland!K$25</f>
        <v>0</v>
      </c>
      <c r="L25" s="81">
        <f>Poland!L$25</f>
        <v>2000</v>
      </c>
      <c r="M25" s="81">
        <f>Poland!M$25</f>
        <v>0</v>
      </c>
      <c r="N25" s="81">
        <f>Poland!N$25</f>
        <v>0</v>
      </c>
      <c r="O25" s="81">
        <f>Poland!O$25</f>
        <v>0</v>
      </c>
      <c r="P25" s="81">
        <v>4000</v>
      </c>
      <c r="Q25" s="81">
        <v>1000</v>
      </c>
      <c r="R25" s="81">
        <v>0</v>
      </c>
      <c r="S25" s="83">
        <v>2000</v>
      </c>
      <c r="U25" s="3"/>
    </row>
    <row r="26" spans="1:21" ht="12.75">
      <c r="A26" s="53" t="s">
        <v>167</v>
      </c>
      <c r="B26" s="35"/>
      <c r="C26" s="140">
        <f>E26-'[1]EU - country'!E26</f>
        <v>0</v>
      </c>
      <c r="D26" s="13">
        <f>F26-'[1]EU - country'!F26</f>
        <v>-46875</v>
      </c>
      <c r="E26" s="122">
        <f>Portugal!E$14</f>
        <v>0</v>
      </c>
      <c r="F26" s="13">
        <f>Portugal!F$14</f>
        <v>0</v>
      </c>
      <c r="G26" s="13">
        <f>Portugal!G$14</f>
        <v>24870</v>
      </c>
      <c r="H26" s="13">
        <f>Portugal!H$14</f>
        <v>0</v>
      </c>
      <c r="I26" s="81">
        <f>Portugal!I$14</f>
        <v>0</v>
      </c>
      <c r="J26" s="81">
        <f>Portugal!J$14</f>
        <v>0</v>
      </c>
      <c r="K26" s="81">
        <f>Portugal!K$14</f>
        <v>0</v>
      </c>
      <c r="L26" s="81">
        <f>Portugal!L$14</f>
        <v>0</v>
      </c>
      <c r="M26" s="81">
        <f>Portugal!M$14</f>
        <v>0</v>
      </c>
      <c r="N26" s="81">
        <f>Portugal!N$14</f>
        <v>0</v>
      </c>
      <c r="O26" s="81">
        <f>Portugal!O$14</f>
        <v>7940</v>
      </c>
      <c r="P26" s="81"/>
      <c r="Q26" s="81"/>
      <c r="R26" s="81"/>
      <c r="S26" s="83"/>
      <c r="U26" s="3"/>
    </row>
    <row r="27" spans="1:21" ht="12.75">
      <c r="A27" s="27" t="s">
        <v>37</v>
      </c>
      <c r="B27" s="35">
        <f t="shared" si="3"/>
        <v>-0.10752219117380099</v>
      </c>
      <c r="C27" s="140">
        <f>E27-'[1]EU - country'!E27</f>
        <v>-11131.31725787849</v>
      </c>
      <c r="D27" s="13">
        <f>F27-'[1]EU - country'!F27</f>
        <v>-13330.591236582375</v>
      </c>
      <c r="E27" s="122">
        <f>Spain!E$17</f>
        <v>25405.123286678234</v>
      </c>
      <c r="F27" s="13">
        <f>Spain!F$17</f>
        <v>28465.831906892403</v>
      </c>
      <c r="G27" s="13">
        <f>Spain!G$17</f>
        <v>26398</v>
      </c>
      <c r="H27" s="13">
        <f>Spain!H$17</f>
        <v>33499</v>
      </c>
      <c r="I27" s="13">
        <f>Spain!I$17</f>
        <v>23171.754472467466</v>
      </c>
      <c r="J27" s="13">
        <f>Spain!J$17</f>
        <v>30377.03385091057</v>
      </c>
      <c r="K27" s="13">
        <f>Spain!K$17</f>
        <v>34942.83351670842</v>
      </c>
      <c r="L27" s="13">
        <f>Spain!L$17</f>
        <v>40301.007640853895</v>
      </c>
      <c r="M27" s="13">
        <f>Spain!M$17</f>
        <v>14668.174493191973</v>
      </c>
      <c r="N27" s="13">
        <f>Spain!N$17</f>
        <v>58975.56022346052</v>
      </c>
      <c r="O27" s="13">
        <f>Spain!O$17</f>
        <v>50980</v>
      </c>
      <c r="P27" s="13">
        <v>35176.848959344396</v>
      </c>
      <c r="Q27" s="13">
        <v>36206.77148907634</v>
      </c>
      <c r="R27" s="13">
        <v>34091</v>
      </c>
      <c r="S27" s="47">
        <v>40882</v>
      </c>
      <c r="U27" s="3"/>
    </row>
    <row r="28" spans="1:21" ht="12.75">
      <c r="A28" s="27" t="s">
        <v>60</v>
      </c>
      <c r="B28" s="35">
        <f t="shared" si="3"/>
        <v>-0.33509556730378204</v>
      </c>
      <c r="C28" s="140">
        <f>E28-'[1]EU - country'!E28</f>
        <v>-1978</v>
      </c>
      <c r="D28" s="13">
        <f>F28-'[1]EU - country'!F28</f>
        <v>-1852</v>
      </c>
      <c r="E28" s="122">
        <f>Switzerland!E$28</f>
        <v>1635</v>
      </c>
      <c r="F28" s="13">
        <f>Switzerland!F$28</f>
        <v>2459</v>
      </c>
      <c r="G28" s="13">
        <f>Switzerland!G$28</f>
        <v>2014</v>
      </c>
      <c r="H28" s="13">
        <f>Switzerland!H$28</f>
        <v>0</v>
      </c>
      <c r="I28" s="13">
        <f>Switzerland!I$28</f>
        <v>427</v>
      </c>
      <c r="J28" s="13">
        <f>Switzerland!J$28</f>
        <v>356</v>
      </c>
      <c r="K28" s="13">
        <f>Switzerland!K$28</f>
        <v>1621</v>
      </c>
      <c r="L28" s="13">
        <f>Switzerland!L$28</f>
        <v>750</v>
      </c>
      <c r="M28" s="13">
        <f>Switzerland!M$28</f>
        <v>28</v>
      </c>
      <c r="N28" s="13">
        <f>Switzerland!N$28</f>
        <v>2933</v>
      </c>
      <c r="O28" s="13">
        <f>Switzerland!O$28</f>
        <v>79</v>
      </c>
      <c r="P28" s="13">
        <v>1633</v>
      </c>
      <c r="Q28" s="13">
        <v>0</v>
      </c>
      <c r="R28" s="13">
        <v>1756</v>
      </c>
      <c r="S28" s="47">
        <v>33</v>
      </c>
      <c r="U28" s="3"/>
    </row>
    <row r="29" spans="1:19" ht="12.75">
      <c r="A29" s="27" t="s">
        <v>1</v>
      </c>
      <c r="B29" s="35">
        <f t="shared" si="3"/>
        <v>0.16464222735786027</v>
      </c>
      <c r="C29" s="140">
        <f>E29-'[1]EU - country'!E29</f>
        <v>-31521</v>
      </c>
      <c r="D29" s="13">
        <f>F29-'[1]EU - country'!F29</f>
        <v>-29958</v>
      </c>
      <c r="E29" s="122">
        <f>Netherlands!E$15</f>
        <v>106333</v>
      </c>
      <c r="F29" s="13">
        <f>Netherlands!F$15</f>
        <v>91301</v>
      </c>
      <c r="G29" s="13">
        <f>Netherlands!G$15</f>
        <v>107627</v>
      </c>
      <c r="H29" s="13">
        <f>Netherlands!H$15</f>
        <v>92431</v>
      </c>
      <c r="I29" s="13">
        <f>Netherlands!I$15</f>
        <v>99869</v>
      </c>
      <c r="J29" s="13">
        <f>Netherlands!J$15</f>
        <v>101369</v>
      </c>
      <c r="K29" s="13">
        <f>Netherlands!K$15</f>
        <v>92263</v>
      </c>
      <c r="L29" s="13">
        <f>Netherlands!L$15</f>
        <v>84200</v>
      </c>
      <c r="M29" s="13">
        <f>Netherlands!M$15</f>
        <v>42000</v>
      </c>
      <c r="N29" s="13">
        <f>Netherlands!N$15</f>
        <v>75000</v>
      </c>
      <c r="O29" s="13">
        <f>Netherlands!O$15</f>
        <v>59000</v>
      </c>
      <c r="P29" s="13">
        <v>64000</v>
      </c>
      <c r="Q29" s="13">
        <v>22000</v>
      </c>
      <c r="R29" s="13">
        <v>41000</v>
      </c>
      <c r="S29" s="47">
        <v>47000</v>
      </c>
    </row>
    <row r="30" spans="1:21" ht="13.5" thickBot="1">
      <c r="A30" s="38" t="s">
        <v>166</v>
      </c>
      <c r="B30" s="36">
        <f t="shared" si="3"/>
        <v>11.748251748251748</v>
      </c>
      <c r="C30" s="139">
        <f>E30-'[1]EU - country'!E30</f>
        <v>-1408</v>
      </c>
      <c r="D30" s="15">
        <f>F30-'[1]EU - country'!F30</f>
        <v>-1432</v>
      </c>
      <c r="E30" s="125">
        <f>UK!E$19</f>
        <v>1823</v>
      </c>
      <c r="F30" s="15">
        <f>UK!F$19</f>
        <v>143</v>
      </c>
      <c r="G30" s="15">
        <f>UK!G$19</f>
        <v>751</v>
      </c>
      <c r="H30" s="15">
        <f>UK!H$19</f>
        <v>898</v>
      </c>
      <c r="I30" s="15">
        <f>UK!I$19</f>
        <v>2150</v>
      </c>
      <c r="J30" s="15">
        <f>UK!J$19</f>
        <v>1850</v>
      </c>
      <c r="K30" s="15">
        <f>UK!K$19</f>
        <v>1500</v>
      </c>
      <c r="L30" s="15">
        <f>UK!L$19</f>
        <v>2800</v>
      </c>
      <c r="M30" s="15">
        <f>UK!M$19</f>
        <v>2500</v>
      </c>
      <c r="N30" s="15">
        <f>UK!N$19</f>
        <v>2500</v>
      </c>
      <c r="O30" s="15">
        <f>UK!O$19</f>
        <v>2500</v>
      </c>
      <c r="P30" s="15">
        <v>2900</v>
      </c>
      <c r="Q30" s="15">
        <v>1000</v>
      </c>
      <c r="R30" s="15">
        <v>800</v>
      </c>
      <c r="S30" s="48">
        <v>1000</v>
      </c>
      <c r="U30" s="3"/>
    </row>
    <row r="31" spans="1:19" ht="13.5" thickBot="1">
      <c r="A31" s="40" t="s">
        <v>23</v>
      </c>
      <c r="B31" s="41">
        <f t="shared" si="3"/>
        <v>0.4970719016503487</v>
      </c>
      <c r="C31" s="167">
        <f>E31-'[1]EU - country'!E31</f>
        <v>-157277.02656139835</v>
      </c>
      <c r="D31" s="42">
        <f>F31-'[1]EU - country'!F31</f>
        <v>-132497.59123658238</v>
      </c>
      <c r="E31" s="115">
        <f>SUM(E19:E30)</f>
        <v>273472.8667708043</v>
      </c>
      <c r="F31" s="42">
        <f>SUM(F19:F30)</f>
        <v>182671.83190689242</v>
      </c>
      <c r="G31" s="42">
        <f>SUM(G19:G30)</f>
        <v>286155.24177422473</v>
      </c>
      <c r="H31" s="42">
        <f aca="true" t="shared" si="4" ref="H31:M31">SUM(H19:H30)</f>
        <v>225353.56838242657</v>
      </c>
      <c r="I31" s="42">
        <f t="shared" si="4"/>
        <v>219156.87219241494</v>
      </c>
      <c r="J31" s="42">
        <f t="shared" si="4"/>
        <v>283231.7911172174</v>
      </c>
      <c r="K31" s="42">
        <f t="shared" si="4"/>
        <v>238256.48769134478</v>
      </c>
      <c r="L31" s="42">
        <f t="shared" si="4"/>
        <v>241535.0076408539</v>
      </c>
      <c r="M31" s="42">
        <f t="shared" si="4"/>
        <v>113756.13718657062</v>
      </c>
      <c r="N31" s="42">
        <f aca="true" t="shared" si="5" ref="N31:S31">SUM(N19:N30)</f>
        <v>265032.1781970505</v>
      </c>
      <c r="O31" s="42">
        <f t="shared" si="5"/>
        <v>198962</v>
      </c>
      <c r="P31" s="42">
        <f t="shared" si="5"/>
        <v>208441.84895934438</v>
      </c>
      <c r="Q31" s="42">
        <f t="shared" si="5"/>
        <v>103961.77148907635</v>
      </c>
      <c r="R31" s="42">
        <f t="shared" si="5"/>
        <v>176943</v>
      </c>
      <c r="S31" s="49">
        <f t="shared" si="5"/>
        <v>204453</v>
      </c>
    </row>
    <row r="32" spans="1:17" ht="12.75">
      <c r="A32" s="3"/>
      <c r="B32"/>
      <c r="C32"/>
      <c r="D32" s="9"/>
      <c r="E32" s="9"/>
      <c r="F32" s="9"/>
      <c r="G32" s="9"/>
      <c r="H32" s="9"/>
      <c r="I32"/>
      <c r="J32"/>
      <c r="K32"/>
      <c r="L32"/>
      <c r="M32"/>
      <c r="N32"/>
      <c r="O32"/>
      <c r="P32"/>
      <c r="Q32"/>
    </row>
    <row r="33" spans="1:19" ht="12.75">
      <c r="A33" s="61" t="s">
        <v>164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12.75">
      <c r="A34" s="61" t="s">
        <v>176</v>
      </c>
      <c r="R34" s="1"/>
      <c r="S34" s="1"/>
    </row>
    <row r="35" spans="1:19" ht="12.75">
      <c r="A35" s="9"/>
      <c r="B35" s="12"/>
      <c r="C35" s="12"/>
      <c r="I35" s="12"/>
      <c r="R35" s="1"/>
      <c r="S35" s="1"/>
    </row>
    <row r="36" spans="1:20" ht="12.75">
      <c r="A36" s="85"/>
      <c r="B36" s="12"/>
      <c r="C36" s="12"/>
      <c r="I36" s="12"/>
      <c r="R36" s="12"/>
      <c r="S36" s="12"/>
      <c r="T36" s="12"/>
    </row>
    <row r="37" spans="1:20" ht="25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9"/>
      <c r="T37" s="12"/>
    </row>
    <row r="38" spans="1:20" ht="12.75">
      <c r="A38" s="12"/>
      <c r="B38" s="12"/>
      <c r="C38" s="12"/>
      <c r="I38" s="12"/>
      <c r="R38" s="13"/>
      <c r="S38" s="13"/>
      <c r="T38" s="12"/>
    </row>
    <row r="39" spans="1:21" ht="25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  <c r="S39" s="23"/>
      <c r="T39" s="11"/>
      <c r="U39" s="9"/>
    </row>
    <row r="40" spans="1:21" ht="12.75">
      <c r="A40" s="12"/>
      <c r="B40" s="12"/>
      <c r="C40" s="12"/>
      <c r="I40" s="12"/>
      <c r="R40" s="20"/>
      <c r="S40" s="20"/>
      <c r="T40" s="13"/>
      <c r="U40" s="9"/>
    </row>
    <row r="41" spans="1:21" ht="12.75">
      <c r="A41" s="12"/>
      <c r="B41" s="12"/>
      <c r="C41" s="12"/>
      <c r="I41" s="12"/>
      <c r="R41" s="20"/>
      <c r="S41" s="20"/>
      <c r="T41" s="13"/>
      <c r="U41" s="9"/>
    </row>
    <row r="42" spans="1:21" ht="12.75">
      <c r="A42" s="12"/>
      <c r="B42" s="12"/>
      <c r="C42" s="12"/>
      <c r="I42" s="12"/>
      <c r="R42" s="20"/>
      <c r="S42" s="20"/>
      <c r="T42" s="13"/>
      <c r="U42" s="9"/>
    </row>
    <row r="43" spans="1:21" ht="12.75">
      <c r="A43" s="12"/>
      <c r="B43" s="12"/>
      <c r="C43" s="12"/>
      <c r="I43" s="12"/>
      <c r="R43" s="20"/>
      <c r="S43" s="20"/>
      <c r="T43" s="13"/>
      <c r="U43" s="9"/>
    </row>
    <row r="44" spans="1:21" ht="12.75">
      <c r="A44" s="12"/>
      <c r="B44" s="12"/>
      <c r="C44" s="12"/>
      <c r="I44" s="12"/>
      <c r="R44" s="20"/>
      <c r="S44" s="20"/>
      <c r="T44" s="13"/>
      <c r="U44" s="9"/>
    </row>
    <row r="45" spans="1:21" ht="12.75">
      <c r="A45" s="12"/>
      <c r="B45" s="12"/>
      <c r="C45" s="12"/>
      <c r="I45" s="12"/>
      <c r="R45" s="20"/>
      <c r="S45" s="20"/>
      <c r="T45" s="13"/>
      <c r="U45" s="9"/>
    </row>
    <row r="46" spans="1:21" ht="12.75">
      <c r="A46" s="12"/>
      <c r="B46" s="12"/>
      <c r="C46" s="12"/>
      <c r="I46" s="12"/>
      <c r="R46" s="20"/>
      <c r="S46" s="20"/>
      <c r="T46" s="13"/>
      <c r="U46" s="9"/>
    </row>
    <row r="47" spans="1:21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0"/>
      <c r="S47" s="20"/>
      <c r="T47" s="13"/>
      <c r="U47" s="9"/>
    </row>
    <row r="48" spans="1:21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0"/>
      <c r="S48" s="20"/>
      <c r="T48" s="13"/>
      <c r="U48" s="9"/>
    </row>
    <row r="49" spans="1:21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0"/>
      <c r="S49" s="20"/>
      <c r="T49" s="13"/>
      <c r="U49" s="9"/>
    </row>
    <row r="50" spans="1:21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0"/>
      <c r="S50" s="20"/>
      <c r="T50" s="13"/>
      <c r="U50" s="9"/>
    </row>
    <row r="51" spans="1:21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0"/>
      <c r="S51" s="20"/>
      <c r="T51" s="13"/>
      <c r="U51" s="9"/>
    </row>
    <row r="52" spans="1:21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0"/>
      <c r="S52" s="20"/>
      <c r="T52" s="13"/>
      <c r="U52" s="9"/>
    </row>
    <row r="53" spans="1:21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0"/>
      <c r="S53" s="20"/>
      <c r="T53" s="13"/>
      <c r="U53" s="9"/>
    </row>
    <row r="54" spans="1:21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0"/>
      <c r="S54" s="20"/>
      <c r="T54" s="13"/>
      <c r="U54" s="9"/>
    </row>
    <row r="55" spans="1:21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0"/>
      <c r="S55" s="20"/>
      <c r="T55" s="14"/>
      <c r="U55" s="9"/>
    </row>
    <row r="56" spans="1:20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0"/>
      <c r="S56" s="20"/>
      <c r="T56" s="12"/>
    </row>
    <row r="57" spans="1:21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0"/>
      <c r="S57" s="20"/>
      <c r="T57" s="13"/>
      <c r="U57" s="9"/>
    </row>
    <row r="58" spans="1:21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0"/>
      <c r="S58" s="20"/>
      <c r="T58" s="13"/>
      <c r="U58" s="9"/>
    </row>
    <row r="59" spans="1:21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0"/>
      <c r="S59" s="20"/>
      <c r="T59" s="13"/>
      <c r="U59" s="9"/>
    </row>
    <row r="60" spans="1:21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0"/>
      <c r="S60" s="20"/>
      <c r="T60" s="13"/>
      <c r="U60" s="9"/>
    </row>
    <row r="61" spans="1:2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0"/>
      <c r="S61" s="20"/>
      <c r="T61" s="13"/>
      <c r="U61" s="9"/>
    </row>
    <row r="62" spans="1:21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0"/>
      <c r="S62" s="20"/>
      <c r="T62" s="14"/>
      <c r="U62" s="9"/>
    </row>
    <row r="63" spans="1:20" ht="26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1"/>
      <c r="S63" s="21"/>
      <c r="T63" s="12"/>
    </row>
    <row r="64" spans="1:20" ht="12.75">
      <c r="A64" s="12"/>
      <c r="B64" s="12"/>
      <c r="C64" s="12"/>
      <c r="I64" s="12"/>
      <c r="R64" s="13"/>
      <c r="S64" s="13"/>
      <c r="T64" s="12"/>
    </row>
    <row r="65" spans="1:20" ht="12.75">
      <c r="A65" s="12"/>
      <c r="B65" s="12"/>
      <c r="C65" s="12"/>
      <c r="I65" s="12"/>
      <c r="R65" s="13"/>
      <c r="S65" s="13"/>
      <c r="T65" s="12"/>
    </row>
    <row r="66" spans="1:20" ht="12.75">
      <c r="A66" s="12"/>
      <c r="B66" s="12"/>
      <c r="C66" s="12"/>
      <c r="I66" s="12"/>
      <c r="R66" s="13"/>
      <c r="S66" s="13"/>
      <c r="T66" s="12"/>
    </row>
    <row r="67" spans="1:20" ht="12.75">
      <c r="A67" s="12"/>
      <c r="B67" s="12"/>
      <c r="C67" s="12"/>
      <c r="I67" s="12"/>
      <c r="R67" s="17"/>
      <c r="S67" s="17"/>
      <c r="T67" s="12"/>
    </row>
    <row r="68" spans="1:20" ht="12.75">
      <c r="A68" s="12"/>
      <c r="B68" s="12"/>
      <c r="C68" s="12"/>
      <c r="I68" s="12"/>
      <c r="R68" s="17"/>
      <c r="S68" s="17"/>
      <c r="T68" s="12"/>
    </row>
    <row r="69" spans="1:20" ht="12.75">
      <c r="A69" s="12"/>
      <c r="B69" s="12"/>
      <c r="C69" s="12"/>
      <c r="I69" s="12"/>
      <c r="R69" s="13"/>
      <c r="S69" s="17"/>
      <c r="T69" s="12"/>
    </row>
    <row r="70" spans="1:20" ht="12.75">
      <c r="A70" s="12"/>
      <c r="B70" s="12"/>
      <c r="C70" s="12"/>
      <c r="I70" s="12"/>
      <c r="R70" s="13"/>
      <c r="S70" s="13"/>
      <c r="T70" s="12"/>
    </row>
    <row r="71" spans="1:20" ht="12.75">
      <c r="A71" s="12"/>
      <c r="B71" s="12"/>
      <c r="C71" s="12"/>
      <c r="I71" s="12"/>
      <c r="R71" s="13"/>
      <c r="S71" s="13"/>
      <c r="T71" s="12"/>
    </row>
    <row r="72" spans="1:20" ht="12.75">
      <c r="A72" s="12"/>
      <c r="B72" s="12"/>
      <c r="C72" s="12"/>
      <c r="I72" s="12"/>
      <c r="R72" s="13"/>
      <c r="S72" s="13"/>
      <c r="T72" s="12"/>
    </row>
    <row r="73" spans="1:20" ht="12.75">
      <c r="A73" s="12"/>
      <c r="B73" s="12"/>
      <c r="C73" s="12"/>
      <c r="I73" s="12"/>
      <c r="R73" s="13"/>
      <c r="S73" s="13"/>
      <c r="T73" s="12"/>
    </row>
    <row r="74" spans="1:20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4"/>
      <c r="S74" s="14"/>
      <c r="T74" s="12"/>
    </row>
    <row r="75" spans="1:20" ht="12.75">
      <c r="A75" s="12"/>
      <c r="B75" s="12"/>
      <c r="C75" s="12"/>
      <c r="I75" s="12"/>
      <c r="R75" s="12"/>
      <c r="S75" s="12"/>
      <c r="T75" s="12"/>
    </row>
    <row r="76" spans="1:20" ht="12.75">
      <c r="A76" s="12"/>
      <c r="B76" s="12"/>
      <c r="C76" s="12"/>
      <c r="I76" s="12"/>
      <c r="R76" s="12"/>
      <c r="S76" s="12"/>
      <c r="T76" s="12"/>
    </row>
    <row r="77" spans="1:20" ht="12.75">
      <c r="A77" s="12"/>
      <c r="B77" s="12"/>
      <c r="C77" s="12"/>
      <c r="I77" s="12"/>
      <c r="R77" s="12"/>
      <c r="S77" s="12"/>
      <c r="T77" s="12"/>
    </row>
    <row r="78" spans="1:20" ht="12.75">
      <c r="A78" s="12"/>
      <c r="B78" s="12"/>
      <c r="C78" s="12"/>
      <c r="I78" s="12"/>
      <c r="R78" s="12"/>
      <c r="S78" s="12"/>
      <c r="T78" s="12"/>
    </row>
    <row r="79" spans="1:20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2"/>
      <c r="S79" s="12"/>
      <c r="T79" s="12"/>
    </row>
    <row r="80" spans="1:20" ht="12.75">
      <c r="A80" s="12"/>
      <c r="B80" s="12"/>
      <c r="C80" s="12"/>
      <c r="I80" s="12"/>
      <c r="R80" s="12"/>
      <c r="S80" s="12"/>
      <c r="T80" s="12"/>
    </row>
    <row r="81" spans="1:20" ht="12.75">
      <c r="A81" s="12"/>
      <c r="B81" s="12"/>
      <c r="C81" s="12"/>
      <c r="I81" s="12"/>
      <c r="R81" s="12"/>
      <c r="S81" s="12"/>
      <c r="T81" s="1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47"/>
  <sheetViews>
    <sheetView zoomScalePageLayoutView="0" workbookViewId="0" topLeftCell="A15">
      <selection activeCell="D48" sqref="D48"/>
    </sheetView>
  </sheetViews>
  <sheetFormatPr defaultColWidth="8.8515625" defaultRowHeight="12.75"/>
  <cols>
    <col min="1" max="1" width="24.8515625" style="0" customWidth="1"/>
    <col min="2" max="2" width="10.8515625" style="0" customWidth="1"/>
    <col min="3" max="3" width="11.7109375" style="0" bestFit="1" customWidth="1"/>
    <col min="4" max="4" width="11.7109375" style="9" bestFit="1" customWidth="1"/>
    <col min="5" max="7" width="11.7109375" style="9" customWidth="1"/>
    <col min="8" max="8" width="11.28125" style="9" customWidth="1"/>
    <col min="9" max="9" width="10.8515625" style="0" customWidth="1"/>
    <col min="10" max="17" width="10.8515625" style="9" customWidth="1"/>
  </cols>
  <sheetData>
    <row r="1" spans="1:17" ht="13.5" thickBot="1">
      <c r="A1" s="52" t="s">
        <v>91</v>
      </c>
      <c r="B1" s="32" t="s">
        <v>178</v>
      </c>
      <c r="C1" s="162" t="s">
        <v>177</v>
      </c>
      <c r="D1" s="93" t="s">
        <v>171</v>
      </c>
      <c r="E1" s="165">
        <v>44287</v>
      </c>
      <c r="F1" s="132">
        <v>43922</v>
      </c>
      <c r="G1" s="132">
        <v>43556</v>
      </c>
      <c r="H1" s="132">
        <v>43191</v>
      </c>
      <c r="I1" s="33">
        <v>42826</v>
      </c>
      <c r="J1" s="33">
        <v>42461</v>
      </c>
      <c r="K1" s="33">
        <v>42095</v>
      </c>
      <c r="L1" s="33">
        <v>41730</v>
      </c>
      <c r="M1" s="33">
        <v>41365</v>
      </c>
      <c r="N1" s="33">
        <v>41000</v>
      </c>
      <c r="O1" s="33">
        <v>40634</v>
      </c>
      <c r="P1" s="33">
        <v>40269</v>
      </c>
      <c r="Q1" s="50">
        <v>39904</v>
      </c>
    </row>
    <row r="2" spans="1:18" ht="12.75">
      <c r="A2" s="53" t="s">
        <v>20</v>
      </c>
      <c r="B2" s="58"/>
      <c r="C2" s="141">
        <f>E2-'[1]EU - variety'!E2</f>
        <v>0</v>
      </c>
      <c r="D2" s="81">
        <f>F2-'[1]EU - variety'!F2</f>
        <v>0</v>
      </c>
      <c r="E2" s="159">
        <f>Italy!E$2</f>
        <v>0</v>
      </c>
      <c r="F2" s="81">
        <f>Italy!F$2</f>
        <v>0</v>
      </c>
      <c r="G2" s="81">
        <f>Italy!G$2</f>
        <v>0</v>
      </c>
      <c r="H2" s="81">
        <f>Italy!H$2</f>
        <v>0</v>
      </c>
      <c r="I2" s="81">
        <f>Italy!I$2</f>
        <v>0</v>
      </c>
      <c r="J2" s="81">
        <f>Italy!J$2</f>
        <v>0</v>
      </c>
      <c r="K2" s="81">
        <f>Italy!K$2</f>
        <v>0</v>
      </c>
      <c r="L2" s="81">
        <f>Italy!L$2</f>
        <v>0</v>
      </c>
      <c r="M2" s="81">
        <f>Italy!M$2</f>
        <v>0</v>
      </c>
      <c r="N2" s="81">
        <f>Italy!N$2</f>
        <v>761.6917738204121</v>
      </c>
      <c r="O2" s="81">
        <f>Italy!O$2</f>
        <v>0</v>
      </c>
      <c r="P2" s="81">
        <f>Italy!P$2</f>
        <v>0</v>
      </c>
      <c r="Q2" s="83">
        <f>Italy!Q$2</f>
        <v>0</v>
      </c>
      <c r="R2" s="80"/>
    </row>
    <row r="3" spans="1:18" ht="12.75">
      <c r="A3" s="53" t="s">
        <v>4</v>
      </c>
      <c r="B3" s="58">
        <f>(E3-F3)/F3</f>
        <v>-0.13109935332157555</v>
      </c>
      <c r="C3" s="141">
        <f>E3-'[1]EU - variety'!E3</f>
        <v>-1604</v>
      </c>
      <c r="D3" s="81">
        <f>F3-'[1]EU - variety'!F3</f>
        <v>-2786</v>
      </c>
      <c r="E3" s="159">
        <f>Austria!E$3+Belgium!E$2+Denmark!E$2+France!E$4+Germany!E$2+Switzerland!E$2+Netherlands!E$2+Poland!E$2</f>
        <v>1478</v>
      </c>
      <c r="F3" s="81">
        <f>Austria!F$3+Belgium!F$2+Denmark!F$2+France!F$4+Germany!F$2+Switzerland!F$2+Netherlands!F$2+Poland!F$2</f>
        <v>1701</v>
      </c>
      <c r="G3" s="81">
        <f>Austria!G$3+Belgium!G$2+Denmark!G$2+France!G$4+Germany!G$2+Switzerland!G$2+Netherlands!G$2+Poland!G$2</f>
        <v>6209</v>
      </c>
      <c r="H3" s="81">
        <f>Austria!H$3+Belgium!H$2+Denmark!H$2+France!H$4+Germany!H$2+Switzerland!H$2+Netherlands!H$2+Poland!H$2</f>
        <v>169</v>
      </c>
      <c r="I3" s="81">
        <f>Austria!I$3+Belgium!I$2+Denmark!I$2+France!I$4+Germany!I$2+Switzerland!I$2+Netherlands!I$2+Poland!I$2</f>
        <v>5188</v>
      </c>
      <c r="J3" s="81">
        <f>Austria!J$3+Belgium!J$2+Denmark!J$2+France!J$4+Germany!J$2+Switzerland!J$2+Netherlands!J$2+Poland!J$2</f>
        <v>4075</v>
      </c>
      <c r="K3" s="81">
        <f>Austria!K$3+Belgium!K$2+Denmark!K$2+France!K$4+Germany!K$2+Switzerland!K$2+Netherlands!K$2+Poland!K$2</f>
        <v>6819</v>
      </c>
      <c r="L3" s="81">
        <f>Austria!L$3+Belgium!L$2+Denmark!L$2+France!L$4+Germany!L$2+Switzerland!L$2+Netherlands!L$2+Poland!L$2</f>
        <v>2055</v>
      </c>
      <c r="M3" s="81">
        <f>Austria!M$3+Belgium!M$2+Denmark!M$2+France!M$4+Germany!M$2+Switzerland!M$2+Netherlands!M$2+Poland!M$2</f>
        <v>19</v>
      </c>
      <c r="N3" s="81">
        <f>Austria!N$3+Belgium!N$2+Denmark!N$2+France!N$4+Germany!N$2+Switzerland!N$2+Netherlands!N$2+Poland!N$2</f>
        <v>2886</v>
      </c>
      <c r="O3" s="81">
        <f>Austria!O$3+Belgium!O$2+Denmark!O$2+France!O$4+Germany!O$2+Switzerland!O$2+Netherlands!O$2+Poland!O$2</f>
        <v>1804</v>
      </c>
      <c r="P3" s="81">
        <f>Austria!P$3+Belgium!P$2+Denmark!P$2+France!P$4+Germany!P$2+Switzerland!P$2+Netherlands!P$2+Poland!P$2</f>
        <v>2619</v>
      </c>
      <c r="Q3" s="83">
        <f>Austria!Q$3+Belgium!Q$2+Denmark!Q$2+France!Q$4+Germany!Q$2+Switzerland!Q$2+Netherlands!Q$2+Poland!Q$2</f>
        <v>7428</v>
      </c>
      <c r="R3" s="3"/>
    </row>
    <row r="4" spans="1:17" ht="12.75">
      <c r="A4" s="53" t="s">
        <v>11</v>
      </c>
      <c r="B4" s="58">
        <f aca="true" t="shared" si="0" ref="B4:B32">(E4-F4)/F4</f>
        <v>-0.17801208639027172</v>
      </c>
      <c r="C4" s="141">
        <f>E4-'[1]EU - variety'!E4</f>
        <v>-32183.999999999993</v>
      </c>
      <c r="D4" s="81">
        <f>F4-'[1]EU - variety'!F4</f>
        <v>-31035.059999999998</v>
      </c>
      <c r="E4" s="159">
        <f>Austria!E$4+France!E$5+Germany!E$3+Italy!E$3+Switzerland!E$3+UK!E$2+'Czech Republic'!E$2</f>
        <v>51983.65</v>
      </c>
      <c r="F4" s="81">
        <f>Austria!F$4+France!F$5+Germany!F$3+Italy!F$3+Switzerland!F$3+UK!F$2+'Czech Republic'!F$2</f>
        <v>63241.380000000005</v>
      </c>
      <c r="G4" s="81">
        <f>Austria!G$4+France!G$5+Germany!G$3+Italy!G$3+Switzerland!G$3+UK!G$2+'Czech Republic'!G$2</f>
        <v>83418.58</v>
      </c>
      <c r="H4" s="81">
        <f>Austria!H$4+France!H$5+Germany!H$3+Italy!H$3+Switzerland!H$3+UK!H$2+'Czech Republic'!H$2</f>
        <v>30694</v>
      </c>
      <c r="I4" s="81">
        <f>Austria!I$4+France!I$5+Germany!I$3+Italy!I$3+Switzerland!I$3+UK!I$2+'Czech Republic'!I$2</f>
        <v>58655.119999999995</v>
      </c>
      <c r="J4" s="81">
        <f>Austria!J$4+France!J$5+Germany!J$3+Italy!J$3+Switzerland!J$3+UK!J$2+'Czech Republic'!J$2</f>
        <v>63188.14</v>
      </c>
      <c r="K4" s="81">
        <f>Austria!K$4+France!K$5+Germany!K$3+Italy!K$3+Switzerland!K$3+UK!K$2+'Czech Republic'!K$2</f>
        <v>53841.78</v>
      </c>
      <c r="L4" s="81">
        <f>Austria!L$4+France!L$5+Germany!L$3+Italy!L$3+Switzerland!L$3+UK!L$2+'Czech Republic'!L$2</f>
        <v>71638.02</v>
      </c>
      <c r="M4" s="81">
        <f>Austria!M$4+France!M$5+Germany!M$3+Italy!M$3+Switzerland!M$3+UK!M$2+'Czech Republic'!M$2</f>
        <v>38633</v>
      </c>
      <c r="N4" s="81">
        <f>Austria!N$4+France!N$5+Germany!N$3+Italy!N$3+Switzerland!N$3+UK!N$2+'Czech Republic'!N$2</f>
        <v>70758.07996852639</v>
      </c>
      <c r="O4" s="81">
        <f>Austria!O$4+France!O$5+Germany!O$3+Italy!O$3+Switzerland!O$3+UK!O$2+'Czech Republic'!O$2</f>
        <v>59131.91549033856</v>
      </c>
      <c r="P4" s="81">
        <f>Austria!P$4+France!P$5+Germany!P$3+Italy!P$3+Switzerland!P$3+UK!P$2+'Czech Republic'!P$2</f>
        <v>76119.03</v>
      </c>
      <c r="Q4" s="83">
        <f>Austria!Q$4+France!Q$5+Germany!Q$3+Italy!Q$3+Switzerland!Q$3+UK!Q$2+'Czech Republic'!Q$2</f>
        <v>38049.770000000004</v>
      </c>
    </row>
    <row r="5" spans="1:17" ht="12.75">
      <c r="A5" s="53" t="s">
        <v>36</v>
      </c>
      <c r="B5" s="58">
        <f t="shared" si="0"/>
        <v>0.21429794520547946</v>
      </c>
      <c r="C5" s="141">
        <f>E5-'[1]EU - variety'!E5</f>
        <v>-5102</v>
      </c>
      <c r="D5" s="81">
        <f>F5-'[1]EU - variety'!F5</f>
        <v>-7392</v>
      </c>
      <c r="E5" s="159">
        <f>UK!E$3</f>
        <v>14183</v>
      </c>
      <c r="F5" s="81">
        <f>UK!F$3</f>
        <v>11680</v>
      </c>
      <c r="G5" s="81">
        <f>UK!G$3</f>
        <v>19800</v>
      </c>
      <c r="H5" s="81">
        <f>UK!H$3</f>
        <v>18000</v>
      </c>
      <c r="I5" s="81">
        <f>UK!I$3</f>
        <v>19850</v>
      </c>
      <c r="J5" s="81">
        <f>UK!J$3</f>
        <v>16000</v>
      </c>
      <c r="K5" s="81">
        <f>UK!K$3</f>
        <v>29000</v>
      </c>
      <c r="L5" s="81">
        <f>UK!L$3</f>
        <v>26000</v>
      </c>
      <c r="M5" s="81">
        <f>UK!M$3</f>
        <v>10000</v>
      </c>
      <c r="N5" s="81">
        <f>UK!N$3</f>
        <v>25000</v>
      </c>
      <c r="O5" s="81">
        <f>UK!O$3</f>
        <v>26000</v>
      </c>
      <c r="P5" s="81">
        <f>UK!P$3</f>
        <v>26000</v>
      </c>
      <c r="Q5" s="83">
        <f>UK!Q$3</f>
        <v>28000</v>
      </c>
    </row>
    <row r="6" spans="1:17" ht="12.75">
      <c r="A6" s="53" t="s">
        <v>29</v>
      </c>
      <c r="B6" s="58">
        <f t="shared" si="0"/>
        <v>2.2596599690880987</v>
      </c>
      <c r="C6" s="141">
        <f>E6-'[1]EU - variety'!E6</f>
        <v>-1262</v>
      </c>
      <c r="D6" s="81">
        <f>F6-'[1]EU - variety'!F6</f>
        <v>-827</v>
      </c>
      <c r="E6" s="159">
        <f>France!E6+UK!E4</f>
        <v>2109</v>
      </c>
      <c r="F6" s="81">
        <f>France!F6+UK!F4</f>
        <v>647</v>
      </c>
      <c r="G6" s="81">
        <f>France!G6+UK!G4</f>
        <v>1314</v>
      </c>
      <c r="H6" s="81">
        <f>France!H6+UK!H4</f>
        <v>256</v>
      </c>
      <c r="I6" s="81">
        <f>France!I6+UK!I4</f>
        <v>0</v>
      </c>
      <c r="J6" s="81">
        <f>France!J6+UK!J4</f>
        <v>1100</v>
      </c>
      <c r="K6" s="81">
        <f>France!K6+UK!K4</f>
        <v>300</v>
      </c>
      <c r="L6" s="81">
        <f>France!L6+UK!L4</f>
        <v>300</v>
      </c>
      <c r="M6" s="81">
        <f>France!M6+UK!M4</f>
        <v>0</v>
      </c>
      <c r="N6" s="81">
        <f>France!N6+UK!N4</f>
        <v>851</v>
      </c>
      <c r="O6" s="81">
        <f>France!O6+UK!O4</f>
        <v>880</v>
      </c>
      <c r="P6" s="81">
        <f>France!P6+UK!P4</f>
        <v>1390</v>
      </c>
      <c r="Q6" s="83">
        <f>France!Q6+UK!Q4</f>
        <v>0</v>
      </c>
    </row>
    <row r="7" spans="1:17" ht="12.75">
      <c r="A7" s="53" t="s">
        <v>33</v>
      </c>
      <c r="B7" s="58"/>
      <c r="C7" s="141">
        <f>E7-'[1]EU - variety'!E7</f>
        <v>0</v>
      </c>
      <c r="D7" s="81">
        <f>F7-'[1]EU - variety'!F7</f>
        <v>0</v>
      </c>
      <c r="E7" s="159">
        <f>Poland!E$3</f>
        <v>0</v>
      </c>
      <c r="F7" s="81">
        <f>Poland!F$3</f>
        <v>0</v>
      </c>
      <c r="G7" s="81">
        <f>Poland!G$3</f>
        <v>0</v>
      </c>
      <c r="H7" s="81">
        <f>Poland!H$3</f>
        <v>0</v>
      </c>
      <c r="I7" s="81">
        <f>Poland!I$3</f>
        <v>0</v>
      </c>
      <c r="J7" s="81">
        <f>Poland!J$3</f>
        <v>0</v>
      </c>
      <c r="K7" s="81">
        <f>Poland!K$3</f>
        <v>0</v>
      </c>
      <c r="L7" s="81">
        <f>Poland!L$3</f>
        <v>0</v>
      </c>
      <c r="M7" s="81">
        <f>Poland!M$3</f>
        <v>0</v>
      </c>
      <c r="N7" s="81">
        <f>Poland!N$3</f>
        <v>0</v>
      </c>
      <c r="O7" s="81">
        <f>Poland!O$3</f>
        <v>0</v>
      </c>
      <c r="P7" s="81">
        <f>Poland!P$3</f>
        <v>8000</v>
      </c>
      <c r="Q7" s="83">
        <f>Poland!Q$3</f>
        <v>1000</v>
      </c>
    </row>
    <row r="8" spans="1:17" ht="12.75">
      <c r="A8" s="53" t="s">
        <v>5</v>
      </c>
      <c r="B8" s="58">
        <f t="shared" si="0"/>
        <v>-0.352112676056338</v>
      </c>
      <c r="C8" s="141">
        <f>E8-'[1]EU - variety'!E8</f>
        <v>-720</v>
      </c>
      <c r="D8" s="81">
        <f>F8-'[1]EU - variety'!F8</f>
        <v>-1040</v>
      </c>
      <c r="E8" s="159">
        <f>Belgium!E$3+Denmark!E$4+Germany!E$4+Switzerland!E$4+UK!E$5</f>
        <v>92</v>
      </c>
      <c r="F8" s="81">
        <f>Belgium!F$3+Denmark!F$4+Germany!F$4+Switzerland!F$4+UK!F$5</f>
        <v>142</v>
      </c>
      <c r="G8" s="81">
        <f>Belgium!G$3+Denmark!G$4+Germany!G$4+Switzerland!G$4+UK!G$5</f>
        <v>316</v>
      </c>
      <c r="H8" s="81">
        <f>Belgium!H$3+Denmark!H$4+Germany!H$4+Switzerland!H$4+UK!H$5</f>
        <v>53</v>
      </c>
      <c r="I8" s="81">
        <f>Belgium!I$3+Denmark!I$4+Germany!I$4+Switzerland!I$4+UK!I$5</f>
        <v>251</v>
      </c>
      <c r="J8" s="81">
        <f>Belgium!J$3+Denmark!J$4+Germany!J$4+Switzerland!J$4+UK!J$5</f>
        <v>1869</v>
      </c>
      <c r="K8" s="81">
        <f>Belgium!K$3+Denmark!K$4+Germany!K$4+Switzerland!K$4+UK!K$5</f>
        <v>0</v>
      </c>
      <c r="L8" s="81">
        <f>Belgium!L$3+Denmark!L$4+Germany!L$4+Switzerland!L$4+UK!L$5</f>
        <v>1907</v>
      </c>
      <c r="M8" s="81">
        <f>Belgium!M$3+Denmark!M$4+Germany!M$4+Switzerland!M$4+UK!M$5</f>
        <v>105</v>
      </c>
      <c r="N8" s="81">
        <f>Belgium!N$3+Denmark!N$4+Germany!N$4+Switzerland!N$4+UK!N$5</f>
        <v>1417</v>
      </c>
      <c r="O8" s="81">
        <f>Belgium!O$3+Denmark!O$4+Germany!O$4+Switzerland!O$4+UK!O$5</f>
        <v>1040</v>
      </c>
      <c r="P8" s="81">
        <f>Belgium!P$3+Denmark!P$4+Germany!P$4+Switzerland!P$4+UK!P$5</f>
        <v>1202</v>
      </c>
      <c r="Q8" s="83">
        <f>Belgium!Q$3+Denmark!Q$4+Germany!Q$4+Switzerland!Q$4+UK!Q$5</f>
        <v>713</v>
      </c>
    </row>
    <row r="9" spans="1:17" ht="12.75">
      <c r="A9" s="53" t="s">
        <v>61</v>
      </c>
      <c r="B9" s="58">
        <f t="shared" si="0"/>
        <v>0.17205608535580977</v>
      </c>
      <c r="C9" s="141">
        <f>E9-'[1]EU - variety'!E9</f>
        <v>-46033.600000000006</v>
      </c>
      <c r="D9" s="81">
        <f>F9-'[1]EU - variety'!F9</f>
        <v>-38268.7</v>
      </c>
      <c r="E9" s="159">
        <f>France!E$8+Italy!E$4</f>
        <v>69305.2</v>
      </c>
      <c r="F9" s="81">
        <f>France!F$8+Italy!F$4</f>
        <v>59131.3</v>
      </c>
      <c r="G9" s="81">
        <f>France!G$8+Italy!G$4</f>
        <v>65506.2</v>
      </c>
      <c r="H9" s="81">
        <f>France!H$8+Italy!H$4</f>
        <v>49464</v>
      </c>
      <c r="I9" s="81">
        <f>France!I$8+Italy!I$4</f>
        <v>63674.9</v>
      </c>
      <c r="J9" s="81">
        <f>France!J$8+Italy!J$4</f>
        <v>54257.3</v>
      </c>
      <c r="K9" s="81">
        <f>France!K$8+Italy!K$4</f>
        <v>69418</v>
      </c>
      <c r="L9" s="81">
        <f>France!L$8+Italy!L$4</f>
        <v>43602</v>
      </c>
      <c r="M9" s="81">
        <f>France!M$8+Italy!M$4</f>
        <v>20971</v>
      </c>
      <c r="N9" s="81">
        <f>France!N$8+Italy!N$4</f>
        <v>48092.956609458226</v>
      </c>
      <c r="O9" s="81">
        <f>France!O$8+Italy!O$4</f>
        <v>30705.10920135959</v>
      </c>
      <c r="P9" s="81">
        <f>France!P$8+Italy!P$4</f>
        <v>19641</v>
      </c>
      <c r="Q9" s="83">
        <f>France!Q$8+Italy!Q$4</f>
        <v>0</v>
      </c>
    </row>
    <row r="10" spans="1:17" ht="12.75">
      <c r="A10" s="53" t="s">
        <v>2</v>
      </c>
      <c r="B10" s="58">
        <f t="shared" si="0"/>
        <v>-0.40300124741673027</v>
      </c>
      <c r="C10" s="141">
        <f>E10-'[1]EU - variety'!E10</f>
        <v>-22146</v>
      </c>
      <c r="D10" s="81">
        <f>F10-'[1]EU - variety'!F10</f>
        <v>-28045.64</v>
      </c>
      <c r="E10" s="159">
        <f>Austria!E$5+Belgium!E$4+Denmark!E$5+France!E$9+Germany!E$5+Italy!E$5+Switzerland!E$5+Netherlands!E$3+Poland!E$4</f>
        <v>32065.4</v>
      </c>
      <c r="F10" s="81">
        <f>Austria!F$5+Belgium!F$4+Denmark!F$5+France!F$9+Germany!F$5+Italy!F$5+Switzerland!F$5+Netherlands!F$3+Poland!F$4</f>
        <v>53711</v>
      </c>
      <c r="G10" s="81">
        <f>Austria!G$5+Belgium!G$4+Denmark!G$5+France!G$9+Germany!G$5+Italy!G$5+Switzerland!G$5+Netherlands!G$3+Poland!G$4</f>
        <v>39955.4</v>
      </c>
      <c r="H10" s="81">
        <f>Austria!H$5+Belgium!H$4+Denmark!H$5+France!H$9+Germany!H$5+Italy!H$5+Switzerland!H$5+Netherlands!H$3+Poland!H$4</f>
        <v>21870</v>
      </c>
      <c r="I10" s="81">
        <f>Austria!I$5+Belgium!I$4+Denmark!I$5+France!I$9+Germany!I$5+Italy!I$5+Switzerland!I$5+Netherlands!I$3+Poland!I$4</f>
        <v>48073</v>
      </c>
      <c r="J10" s="81">
        <f>Austria!J$5+Belgium!J$4+Denmark!J$5+France!J$9+Germany!J$5+Italy!J$5+Switzerland!J$5+Netherlands!J$3+Poland!J$4</f>
        <v>50732.259999999995</v>
      </c>
      <c r="K10" s="81">
        <f>Austria!K$5+Belgium!K$4+Denmark!K$5+France!K$9+Germany!K$5+Italy!K$5+Switzerland!K$5+Netherlands!K$3+Poland!K$4</f>
        <v>64030.86</v>
      </c>
      <c r="L10" s="81">
        <f>Austria!L$5+Belgium!L$4+Denmark!L$5+France!L$9+Germany!L$5+Italy!L$5+Switzerland!L$5+Netherlands!L$3+Poland!L$4</f>
        <v>40722.3</v>
      </c>
      <c r="M10" s="81">
        <f>Austria!M$5+Belgium!M$4+Denmark!M$5+France!M$9+Germany!M$5+Italy!M$5+Switzerland!M$5+Netherlands!M$3+Poland!M$4</f>
        <v>32826.64</v>
      </c>
      <c r="N10" s="81">
        <f>Austria!N$5+Belgium!N$4+Denmark!N$5+France!N$9+Germany!N$5+Italy!N$5+Switzerland!N$5+Netherlands!N$3+Poland!N$4</f>
        <v>52175</v>
      </c>
      <c r="O10" s="81">
        <f>Austria!O$5+Belgium!O$4+Denmark!O$5+France!O$9+Germany!O$5+Italy!O$5+Switzerland!O$5+Netherlands!O$3+Poland!O$4</f>
        <v>35404</v>
      </c>
      <c r="P10" s="81">
        <f>Austria!P$5+Belgium!P$4+Denmark!P$5+France!P$9+Germany!P$5+Italy!P$5+Switzerland!P$5+Netherlands!P$3+Poland!P$4</f>
        <v>61846.8</v>
      </c>
      <c r="Q10" s="83">
        <f>Austria!Q$5+Belgium!Q$4+Denmark!Q$5+France!Q$9+Germany!Q$5+Italy!Q$5+Switzerland!Q$5+Netherlands!Q$3+Poland!Q$4</f>
        <v>44568</v>
      </c>
    </row>
    <row r="11" spans="1:17" ht="12.75">
      <c r="A11" s="53" t="s">
        <v>12</v>
      </c>
      <c r="B11" s="58">
        <f t="shared" si="0"/>
        <v>-0.06305793533377037</v>
      </c>
      <c r="C11" s="141">
        <f>E11-'[1]EU - variety'!E11</f>
        <v>-36644.125692428715</v>
      </c>
      <c r="D11" s="81">
        <f>F11-'[1]EU - variety'!F11</f>
        <v>-31331.16018359587</v>
      </c>
      <c r="E11" s="159">
        <f>Austria!E$7+Denmark!E$6+France!E$10+Germany!E$6+Italy!E$6+Spain!E$2</f>
        <v>66956.1820447071</v>
      </c>
      <c r="F11" s="81">
        <f>Austria!F$7+Denmark!F$6+France!F$10+Germany!F$6+Italy!F$6+Spain!F$2</f>
        <v>71462.45703949597</v>
      </c>
      <c r="G11" s="81">
        <f>Austria!G$7+Denmark!G$6+France!G$10+Germany!G$6+Italy!G$6+Spain!G$2</f>
        <v>87706.95999999999</v>
      </c>
      <c r="H11" s="81">
        <f>Austria!H$7+Denmark!H$6+France!H$10+Germany!H$6+Italy!H$6+Spain!H$2</f>
        <v>54843</v>
      </c>
      <c r="I11" s="81">
        <f>Austria!I$7+Denmark!I$6+France!I$10+Germany!I$6+Italy!I$6+Spain!I$2</f>
        <v>63636.366822938995</v>
      </c>
      <c r="J11" s="81">
        <f>Austria!J$7+Denmark!J$6+France!J$10+Germany!J$6+Italy!J$6+Spain!J$2</f>
        <v>84342.72510724809</v>
      </c>
      <c r="K11" s="81">
        <f>Austria!K$7+Denmark!K$6+France!K$10+Germany!K$6+Italy!K$6+Spain!K$2</f>
        <v>67858.72942544207</v>
      </c>
      <c r="L11" s="81">
        <f>Austria!L$7+Denmark!L$6+France!L$10+Germany!L$6+Italy!L$6+Spain!L$2</f>
        <v>85601.76882543173</v>
      </c>
      <c r="M11" s="81">
        <f>Austria!M$7+Denmark!M$6+France!M$10+Germany!M$6+Italy!M$6+Spain!M$2</f>
        <v>37492.33807160239</v>
      </c>
      <c r="N11" s="81">
        <f>Austria!N$7+Denmark!N$6+France!N$10+Germany!N$6+Italy!N$6+Spain!N$2</f>
        <v>57853.9620941132</v>
      </c>
      <c r="O11" s="81">
        <f>Austria!O$7+Denmark!O$6+France!O$10+Germany!O$6+Italy!O$6+Spain!O$2</f>
        <v>67827.848137447</v>
      </c>
      <c r="P11" s="81">
        <f>Austria!P$7+Denmark!P$6+France!P$10+Germany!P$6+Italy!P$6+Spain!P$2</f>
        <v>52301.83602637415</v>
      </c>
      <c r="Q11" s="83">
        <f>Austria!Q$7+Denmark!Q$6+France!Q$10+Germany!Q$6+Italy!Q$6+Spain!Q$2</f>
        <v>41853.55963894588</v>
      </c>
    </row>
    <row r="12" spans="1:17" ht="12.75">
      <c r="A12" s="53" t="s">
        <v>9</v>
      </c>
      <c r="B12" s="58">
        <f t="shared" si="0"/>
        <v>0.18093476086900181</v>
      </c>
      <c r="C12" s="141">
        <f>E12-'[1]EU - variety'!E12</f>
        <v>-116530.74140998107</v>
      </c>
      <c r="D12" s="81">
        <f>F12-'[1]EU - variety'!F12</f>
        <v>-88638.24690143822</v>
      </c>
      <c r="E12" s="159">
        <f>Austria!E$8+'Czech Republic'!E$3+Denmark!E$7+France!E$11+Germany!E$7+Italy!E$7+Spain!E$3+Switzerland!E$6+UK!E$6+Poland!E$5</f>
        <v>120506.33503028125</v>
      </c>
      <c r="F12" s="81">
        <f>Austria!F$8+'Czech Republic'!F$3+Denmark!F$7+France!F$11+Germany!F$7+Italy!F$7+Spain!F$3+Switzerland!F$6+UK!F$6+Poland!F$5</f>
        <v>102043.1771706047</v>
      </c>
      <c r="G12" s="81">
        <f>Austria!G$8+'Czech Republic'!G$3+Denmark!G$7+France!G$11+Germany!G$7+Italy!G$7+Spain!G$3+Switzerland!G$6+UK!G$6+Poland!G$5</f>
        <v>114199.9</v>
      </c>
      <c r="H12" s="81">
        <f>Austria!H$8+'Czech Republic'!H$3+Denmark!H$7+France!H$11+Germany!H$7+Italy!H$7+Spain!H$3+Switzerland!H$6+UK!H$6+Poland!H$5</f>
        <v>44758</v>
      </c>
      <c r="I12" s="81">
        <f>Austria!I$8+'Czech Republic'!I$3+Denmark!I$7+France!I$11+Germany!I$7+Italy!I$7+Spain!I$3+Switzerland!I$6+UK!I$6+Poland!I$5</f>
        <v>59010.39433673138</v>
      </c>
      <c r="J12" s="81">
        <f>Austria!J$8+'Czech Republic'!J$3+Denmark!J$7+France!J$11+Germany!J$7+Italy!J$7+Spain!J$3+Switzerland!J$6+UK!J$6+Poland!J$5</f>
        <v>65343.19963090841</v>
      </c>
      <c r="K12" s="81">
        <f>Austria!K$8+'Czech Republic'!K$3+Denmark!K$7+France!K$11+Germany!K$7+Italy!K$7+Spain!K$3+Switzerland!K$6+UK!K$6+Poland!K$5</f>
        <v>60274.50506925326</v>
      </c>
      <c r="L12" s="81">
        <f>Austria!L$8+'Czech Republic'!L$3+Denmark!L$7+France!L$11+Germany!L$7+Italy!L$7+Spain!L$3+Switzerland!L$6+UK!L$6+Poland!L$5</f>
        <v>73996.68677273703</v>
      </c>
      <c r="M12" s="81">
        <f>Austria!M$8+'Czech Republic'!M$3+Denmark!M$7+France!M$11+Germany!M$7+Italy!M$7+Spain!M$3+Switzerland!M$6+UK!M$6+Poland!M$5</f>
        <v>30781.66</v>
      </c>
      <c r="N12" s="81">
        <f>Austria!N$8+'Czech Republic'!N$3+Denmark!N$7+France!N$11+Germany!N$7+Italy!N$7+Spain!N$3+Switzerland!N$6+UK!N$6+Poland!N$5</f>
        <v>42293.81072860677</v>
      </c>
      <c r="O12" s="81">
        <f>Austria!O$8+'Czech Republic'!O$3+Denmark!O$7+France!O$11+Germany!O$7+Italy!O$7+Spain!O$3+Switzerland!O$6+UK!O$6+Poland!O$5</f>
        <v>60645.36086727437</v>
      </c>
      <c r="P12" s="81">
        <f>Austria!P$8+'Czech Republic'!P$3+Denmark!P$7+France!P$11+Germany!P$7+Italy!P$7+Spain!P$3+Switzerland!P$6+UK!P$6+Poland!P$5</f>
        <v>67945.95494654431</v>
      </c>
      <c r="Q12" s="83">
        <f>Austria!Q$8+'Czech Republic'!Q$3+Denmark!Q$7+France!Q$11+Germany!Q$7+Italy!Q$7+Spain!Q$3+Switzerland!Q$6+UK!Q$6+Poland!Q$5</f>
        <v>37450.17433571226</v>
      </c>
    </row>
    <row r="13" spans="1:17" ht="12.75">
      <c r="A13" s="53" t="s">
        <v>14</v>
      </c>
      <c r="B13" s="58">
        <f t="shared" si="0"/>
        <v>0.12439535231636165</v>
      </c>
      <c r="C13" s="141">
        <f>E13-'[1]EU - variety'!E13</f>
        <v>-10164</v>
      </c>
      <c r="D13" s="81">
        <f>F13-'[1]EU - variety'!F13</f>
        <v>-10033</v>
      </c>
      <c r="E13" s="159">
        <f>Austria!E$9+Belgium!E$5+'Czech Republic'!E$4+Denmark!E$8+Germany!E$8+Italy!E$8+Poland!E$6</f>
        <v>45095</v>
      </c>
      <c r="F13" s="81">
        <f>Austria!F$9+Belgium!F$5+'Czech Republic'!F$4+Denmark!F$8+Germany!F$8+Italy!F$8+Poland!F$6</f>
        <v>40106</v>
      </c>
      <c r="G13" s="81">
        <f>Austria!G$9+Belgium!G$5+'Czech Republic'!G$4+Denmark!G$8+Germany!G$8+Italy!G$8+Poland!G$6</f>
        <v>41037</v>
      </c>
      <c r="H13" s="81">
        <f>Austria!H$9+Belgium!H$5+'Czech Republic'!H$4+Denmark!H$8+Germany!H$8+Italy!H$8+Poland!H$6</f>
        <v>40296</v>
      </c>
      <c r="I13" s="81">
        <f>Austria!I$9+Belgium!I$5+'Czech Republic'!I$4+Denmark!I$8+Germany!I$8+Italy!I$8+Poland!I$6</f>
        <v>50459</v>
      </c>
      <c r="J13" s="81">
        <f>Austria!J$9+Belgium!J$5+'Czech Republic'!J$4+Denmark!J$8+Germany!J$8+Italy!J$8+Poland!J$6</f>
        <v>45989</v>
      </c>
      <c r="K13" s="81">
        <f>Austria!K$9+Belgium!K$5+'Czech Republic'!K$4+Denmark!K$8+Germany!K$8+Italy!K$8+Poland!K$6</f>
        <v>41018</v>
      </c>
      <c r="L13" s="81">
        <f>Austria!L$9+Belgium!L$5+'Czech Republic'!L$4+Denmark!L$8+Germany!L$8+Italy!L$8+Poland!L$6</f>
        <v>41043</v>
      </c>
      <c r="M13" s="81">
        <f>Austria!M$9+Belgium!M$5+'Czech Republic'!M$4+Denmark!M$8+Germany!M$8+Italy!M$8+Poland!M$6</f>
        <v>41475</v>
      </c>
      <c r="N13" s="81">
        <f>Austria!N$9+Belgium!N$5+'Czech Republic'!N$4+Denmark!N$8+Germany!N$8+Italy!N$8+Poland!N$6</f>
        <v>41949.075684618285</v>
      </c>
      <c r="O13" s="81">
        <f>Austria!O$9+Belgium!O$5+'Czech Republic'!O$4+Denmark!O$8+Germany!O$8+Italy!O$8+Poland!O$6</f>
        <v>6907</v>
      </c>
      <c r="P13" s="81">
        <f>Austria!P$9+Belgium!P$5+'Czech Republic'!P$4+Denmark!P$8+Germany!P$8+Italy!P$8+Poland!P$6</f>
        <v>12534.970000000001</v>
      </c>
      <c r="Q13" s="83">
        <f>Austria!Q$9+Belgium!Q$5+'Czech Republic'!Q$4+Denmark!Q$8+Germany!Q$8+Italy!Q$8+Poland!Q$6</f>
        <v>7925.11</v>
      </c>
    </row>
    <row r="14" spans="1:17" ht="12.75">
      <c r="A14" s="53" t="s">
        <v>3</v>
      </c>
      <c r="B14" s="58">
        <f t="shared" si="0"/>
        <v>-0.20622753878704886</v>
      </c>
      <c r="C14" s="141">
        <f>E14-'[1]EU - variety'!E14</f>
        <v>-140651.14419898408</v>
      </c>
      <c r="D14" s="81">
        <f>F14-'[1]EU - variety'!F14</f>
        <v>-157729.26749399886</v>
      </c>
      <c r="E14" s="159">
        <f>Austria!E$10+Belgium!E$6+'Czech Republic'!E$5+France!E$12+Germany!E$9+Italy!E$9+Spain!E$4+Switzerland!E$8+Netherlands!E$4+Poland!E$7</f>
        <v>513074.0256623773</v>
      </c>
      <c r="F14" s="81">
        <f>Austria!F$10+Belgium!F$6+'Czech Republic'!F$5+France!F$12+Germany!F$9+Italy!F$9+Spain!F$4+Switzerland!F$8+Netherlands!F$4+Poland!F$7</f>
        <v>646374.182443111</v>
      </c>
      <c r="G14" s="81">
        <f>Austria!G$10+Belgium!G$6+'Czech Republic'!G$5+France!G$12+Germany!G$9+Italy!G$9+Spain!G$4+Switzerland!G$8+Netherlands!G$4+Poland!G$7</f>
        <v>669581.6</v>
      </c>
      <c r="H14" s="81">
        <f>Austria!H$10+Belgium!H$6+'Czech Republic'!H$5+France!H$12+Germany!H$9+Italy!H$9+Spain!H$4+Switzerland!H$8+Netherlands!H$4+Poland!H$7</f>
        <v>445055</v>
      </c>
      <c r="I14" s="81">
        <f>Austria!I$10+Belgium!I$6+'Czech Republic'!I$5+France!I$12+Germany!I$9+Italy!I$9+Spain!I$4+Switzerland!I$8+Netherlands!I$4+Poland!I$7</f>
        <v>749980.5731193078</v>
      </c>
      <c r="J14" s="81">
        <f>Austria!J$10+Belgium!J$6+'Czech Republic'!J$5+France!J$12+Germany!J$9+Italy!J$9+Spain!J$4+Switzerland!J$8+Netherlands!J$4+Poland!J$7</f>
        <v>738832.1743046535</v>
      </c>
      <c r="K14" s="81">
        <f>Austria!K$10+Belgium!K$6+'Czech Republic'!K$5+France!K$12+Germany!K$9+Italy!K$9+Spain!K$4+Switzerland!K$8+Netherlands!K$4+Poland!K$7</f>
        <v>763810.4517649488</v>
      </c>
      <c r="L14" s="81">
        <f>Austria!L$10+Belgium!L$6+'Czech Republic'!L$5+France!L$12+Germany!L$9+Italy!L$9+Spain!L$4+Switzerland!L$8+Netherlands!L$4+Poland!L$7</f>
        <v>701600.9749709319</v>
      </c>
      <c r="M14" s="81">
        <f>Austria!M$10+Belgium!M$6+'Czech Republic'!M$5+France!M$12+Germany!M$9+Italy!M$9+Spain!M$4+Switzerland!M$8+Netherlands!M$4+Poland!M$7</f>
        <v>557218.7776335295</v>
      </c>
      <c r="N14" s="81">
        <f>Austria!N$10+Belgium!N$6+'Czech Republic'!N$5+France!N$12+Germany!N$9+Italy!N$9+Spain!N$4+Switzerland!N$8+Netherlands!N$4+Poland!N$7</f>
        <v>699267.2734544317</v>
      </c>
      <c r="O14" s="81">
        <f>Austria!O$10+Belgium!O$6+'Czech Republic'!O$5+France!O$12+Germany!O$9+Italy!O$9+Spain!O$4+Switzerland!O$8+Netherlands!O$4+Poland!O$7</f>
        <v>640073.6003980854</v>
      </c>
      <c r="P14" s="81">
        <f>Austria!P$10+Belgium!P$6+'Czech Republic'!P$5+France!P$12+Germany!P$9+Italy!P$9+Spain!P$4+Switzerland!P$8+Netherlands!P$4+Poland!P$7</f>
        <v>683534.1055560019</v>
      </c>
      <c r="Q14" s="83">
        <f>Austria!Q$10+Belgium!Q$6+'Czech Republic'!Q$5+France!Q$12+Germany!Q$9+Italy!Q$9+Spain!Q$4+Switzerland!Q$8+Netherlands!Q$4+Poland!Q$7</f>
        <v>604548.2299031477</v>
      </c>
    </row>
    <row r="15" spans="1:17" ht="12.75">
      <c r="A15" s="53" t="s">
        <v>17</v>
      </c>
      <c r="B15" s="58">
        <f t="shared" si="0"/>
        <v>0.32086623379620605</v>
      </c>
      <c r="C15" s="141">
        <f>E15-'[1]EU - variety'!E15</f>
        <v>-33611.73005124868</v>
      </c>
      <c r="D15" s="81">
        <f>F15-'[1]EU - variety'!F15</f>
        <v>-29326.24876973174</v>
      </c>
      <c r="E15" s="159">
        <f>Austria!E$11+France!E$14+Italy!E$10+Spain!E$5+Switzerland!E$9+Denmark!E$9</f>
        <v>93632.10631437566</v>
      </c>
      <c r="F15" s="81">
        <f>Austria!F$11+France!F$14+Italy!F$10+Spain!F$5+Switzerland!F$9+Denmark!F$9</f>
        <v>70886.89521971835</v>
      </c>
      <c r="G15" s="81">
        <f>Austria!G$11+France!G$14+Italy!G$10+Spain!G$5+Switzerland!G$9</f>
        <v>84279.94</v>
      </c>
      <c r="H15" s="81">
        <f>Austria!H$11+France!H$14+Italy!H$10+Spain!H$5+Switzerland!H$9</f>
        <v>82648</v>
      </c>
      <c r="I15" s="81">
        <f>Austria!I$11+France!I$14+Italy!I$10+Spain!I$5+Switzerland!I$9</f>
        <v>68011.807822777</v>
      </c>
      <c r="J15" s="81">
        <f>Austria!J$11+France!J$14+Italy!J$10+Spain!J$5+Switzerland!J$9</f>
        <v>94799.06151395378</v>
      </c>
      <c r="K15" s="81">
        <f>Austria!K$11+France!K$14+Italy!K$10+Spain!K$5+Switzerland!K$9</f>
        <v>78545.5966131976</v>
      </c>
      <c r="L15" s="81">
        <f>Austria!L$11+France!L$14+Italy!L$10+Spain!L$5+Switzerland!L$9</f>
        <v>81197.30932488096</v>
      </c>
      <c r="M15" s="81">
        <f>Austria!M$11+France!M$14+Italy!M$10+Spain!M$5+Switzerland!M$9</f>
        <v>41960.157530405544</v>
      </c>
      <c r="N15" s="81">
        <f>Austria!N$11+France!N$14+Italy!N$10+Spain!N$5+Switzerland!N$9</f>
        <v>57382.78450103019</v>
      </c>
      <c r="O15" s="81">
        <f>Austria!O$11+France!O$14+Italy!O$10+Spain!O$5+Switzerland!O$9</f>
        <v>46064.57019226464</v>
      </c>
      <c r="P15" s="81">
        <f>Austria!P$11+France!P$14+Italy!P$10+Spain!P$5+Switzerland!P$9</f>
        <v>48779.90897784152</v>
      </c>
      <c r="Q15" s="83">
        <f>Austria!Q$11+France!Q$14+Italy!Q$10+Spain!Q$5+Switzerland!Q$9</f>
        <v>26188.702341418088</v>
      </c>
    </row>
    <row r="16" spans="1:17" ht="12.75">
      <c r="A16" s="53" t="s">
        <v>15</v>
      </c>
      <c r="B16" s="58"/>
      <c r="C16" s="141">
        <f>E16-'[1]EU - variety'!E16</f>
        <v>-100</v>
      </c>
      <c r="D16" s="81">
        <f>F16-'[1]EU - variety'!F16</f>
        <v>0</v>
      </c>
      <c r="E16" s="159">
        <f>Denmark!E$10+Germany!E$10</f>
        <v>0</v>
      </c>
      <c r="F16" s="81">
        <f>Denmark!F$10+Germany!F$10</f>
        <v>0</v>
      </c>
      <c r="G16" s="81">
        <f>Denmark!G$10+Germany!G$10</f>
        <v>35</v>
      </c>
      <c r="H16" s="81">
        <f>Denmark!H$10+Germany!H$10</f>
        <v>0</v>
      </c>
      <c r="I16" s="81">
        <f>Denmark!I$10+Germany!I$10</f>
        <v>0</v>
      </c>
      <c r="J16" s="81">
        <f>Denmark!J$10+Germany!J$10</f>
        <v>97</v>
      </c>
      <c r="K16" s="81">
        <f>Denmark!K$10+Germany!K$10</f>
        <v>138</v>
      </c>
      <c r="L16" s="81">
        <f>Denmark!L$10+Germany!L$10</f>
        <v>0</v>
      </c>
      <c r="M16" s="81">
        <f>Denmark!M$10+Germany!M$10</f>
        <v>0</v>
      </c>
      <c r="N16" s="81">
        <f>Denmark!N$10+Germany!N$10</f>
        <v>27</v>
      </c>
      <c r="O16" s="81">
        <f>Denmark!O$10+Germany!O$10</f>
        <v>64</v>
      </c>
      <c r="P16" s="81">
        <f>Denmark!P$10+Germany!P$10</f>
        <v>0</v>
      </c>
      <c r="Q16" s="83">
        <f>Denmark!Q$10+Germany!Q$10</f>
        <v>0</v>
      </c>
    </row>
    <row r="17" spans="1:18" ht="12.75">
      <c r="A17" s="53" t="s">
        <v>10</v>
      </c>
      <c r="B17" s="58">
        <f t="shared" si="0"/>
        <v>0.7140621853252479</v>
      </c>
      <c r="C17" s="141">
        <f>E17-'[1]EU - variety'!E17</f>
        <v>-33827.59999999998</v>
      </c>
      <c r="D17" s="81">
        <f>F17-'[1]EU - variety'!F17</f>
        <v>-32968.600000000006</v>
      </c>
      <c r="E17" s="159">
        <f>Austria!E$12+'Czech Republic'!E$6+Denmark!E$11+France!E$16+Germany!E$11+Italy!E$11+Switzerland!E$10+Poland!E$8</f>
        <v>153199.45</v>
      </c>
      <c r="F17" s="81">
        <f>Austria!F$12+'Czech Republic'!F$6+Denmark!F$11+France!F$16+Germany!F$11+Italy!F$11+Switzerland!F$10+Poland!F$8</f>
        <v>89378</v>
      </c>
      <c r="G17" s="81">
        <f>Austria!G$12+'Czech Republic'!G$6+Denmark!G$11+France!G$16+Germany!G$11+Italy!G$11+Switzerland!G$10+Poland!G$8</f>
        <v>213639.58000000002</v>
      </c>
      <c r="H17" s="81">
        <f>Austria!H$12+'Czech Republic'!H$6+Denmark!H$11+France!H$16+Germany!H$11+Italy!H$11+Switzerland!H$10+Poland!H$8</f>
        <v>82271</v>
      </c>
      <c r="I17" s="81">
        <f>Austria!I$12+'Czech Republic'!I$6+Denmark!I$11+France!I$16+Germany!I$11+Italy!I$11+Switzerland!I$10+Poland!I$8</f>
        <v>182344.66</v>
      </c>
      <c r="J17" s="81">
        <f>Austria!J$12+'Czech Republic'!J$6+Denmark!J$11+France!J$16+Germany!J$11+Italy!J$11+Switzerland!J$10+Poland!J$8</f>
        <v>205361.91999999998</v>
      </c>
      <c r="K17" s="81">
        <f>Austria!K$12+'Czech Republic'!K$6+Denmark!K$11+France!K$16+Germany!K$11+Italy!K$11+Switzerland!K$10+Poland!K$8</f>
        <v>161068.98</v>
      </c>
      <c r="L17" s="81">
        <f>Austria!L$12+'Czech Republic'!L$6+Denmark!L$11+France!L$16+Germany!L$11+Italy!L$11+Switzerland!L$10+Poland!L$8</f>
        <v>192777.8</v>
      </c>
      <c r="M17" s="81">
        <f>Austria!M$12+'Czech Republic'!M$6+Denmark!M$11+France!M$16+Germany!M$11+Italy!M$11+Switzerland!M$10+Poland!M$8</f>
        <v>168189.26</v>
      </c>
      <c r="N17" s="81">
        <f>Austria!N$12+'Czech Republic'!N$6+Denmark!N$11+France!N$16+Germany!N$11+Italy!N$11+Switzerland!N$10+Poland!N$8</f>
        <v>157330.46539247863</v>
      </c>
      <c r="O17" s="81">
        <f>Austria!O$12+'Czech Republic'!O$6+Denmark!O$11+France!O$16+Germany!O$11+Italy!O$11+Switzerland!O$10+Poland!O$8</f>
        <v>77506.94189702495</v>
      </c>
      <c r="P17" s="81">
        <f>Austria!P$12+'Czech Republic'!P$6+Denmark!P$11+France!P$16+Germany!P$11+Italy!P$11+Switzerland!P$10+Poland!P$8</f>
        <v>111380.23999999999</v>
      </c>
      <c r="Q17" s="83">
        <f>Austria!Q$12+'Czech Republic'!Q$6+Denmark!Q$11+France!Q$16+Germany!Q$11+Italy!Q$11+Switzerland!Q$10+Poland!Q$8</f>
        <v>116812.51999999999</v>
      </c>
      <c r="R17" s="1"/>
    </row>
    <row r="18" spans="1:18" ht="12.75">
      <c r="A18" s="53" t="s">
        <v>27</v>
      </c>
      <c r="B18" s="58">
        <f t="shared" si="0"/>
        <v>0.0466141886136726</v>
      </c>
      <c r="C18" s="141">
        <f>E18-'[1]EU - variety'!E18</f>
        <v>-33142.399999999994</v>
      </c>
      <c r="D18" s="81">
        <f>F18-'[1]EU - variety'!F18</f>
        <v>-27552.84000000001</v>
      </c>
      <c r="E18" s="159">
        <f>Austria!E$13+Belgium!E$7+'Czech Republic'!E$7+Denmark!E$13+France!E$18+Germany!E$13+Italy!E$12+Switzerland!E$11+Netherlands!E$5+UK!E$7+Poland!E$9</f>
        <v>110342.65</v>
      </c>
      <c r="F18" s="81">
        <f>Austria!F$13+Belgium!F$7+'Czech Republic'!F$7+Denmark!F$13+France!F$18+Germany!F$13+Italy!F$12+Switzerland!F$11+Netherlands!F$5+UK!F$7+Poland!F$9</f>
        <v>105428.2</v>
      </c>
      <c r="G18" s="81">
        <f>Austria!G$13+Belgium!G$7+'Czech Republic'!G$7+Denmark!G$13+France!G$18+Germany!G$13+Italy!G$12+Switzerland!G$11+Netherlands!G$5+UK!G$7+Poland!G$9</f>
        <v>137900.48</v>
      </c>
      <c r="H18" s="81">
        <f>Austria!H$13+Belgium!H$7+'Czech Republic'!H$7+Denmark!H$13+France!H$18+Germany!H$13+Italy!H$12+Switzerland!H$11+Netherlands!H$5+UK!H$7+Poland!H$9</f>
        <v>54880</v>
      </c>
      <c r="I18" s="81">
        <f>Austria!I$13+Belgium!I$7+'Czech Republic'!I$7+Denmark!I$13+France!I$18+Germany!I$13+Italy!I$12+Switzerland!I$11+Netherlands!I$5+UK!I$7+Poland!I$9</f>
        <v>150137.28</v>
      </c>
      <c r="J18" s="81">
        <f>Austria!J$13+Belgium!J$7+'Czech Republic'!J$7+Denmark!J$13+France!J$18+Germany!J$13+Italy!J$12+Switzerland!J$11+Netherlands!J$5+UK!J$7+Poland!J$9</f>
        <v>181972.13999999998</v>
      </c>
      <c r="K18" s="81">
        <f>Austria!K$13+Belgium!K$7+'Czech Republic'!K$7+Denmark!K$13+France!K$18+Germany!K$13+Italy!K$12+Switzerland!K$11+Netherlands!K$5+UK!K$7+Poland!K$9</f>
        <v>190635.06</v>
      </c>
      <c r="L18" s="81">
        <f>Austria!L$13+Belgium!L$7+'Czech Republic'!L$7+Denmark!L$13+France!L$18+Germany!L$13+Italy!L$12+Switzerland!L$11+Netherlands!L$5+UK!L$7+Poland!L$9</f>
        <v>162567.68</v>
      </c>
      <c r="M18" s="81">
        <f>Austria!M$13+Belgium!M$7+'Czech Republic'!M$7+Denmark!M$13+France!M$18+Germany!M$13+Italy!M$12+Switzerland!M$11+Netherlands!M$5+UK!M$7+Poland!M$9</f>
        <v>144874.24</v>
      </c>
      <c r="N18" s="81">
        <f>Austria!N$13+Belgium!N$7+'Czech Republic'!N$7+Denmark!N$13+France!N$18+Germany!N$13+Italy!N$12+Switzerland!N$11+Netherlands!N$5+UK!N$7+Poland!N$9</f>
        <v>198784.27405579167</v>
      </c>
      <c r="O18" s="81">
        <f>Austria!O$13+Belgium!O$7+'Czech Republic'!O$7+Denmark!O$13+France!O$18+Germany!O$13+Italy!O$12+Switzerland!O$11+Netherlands!O$5+UK!O$7+Poland!O$9</f>
        <v>126814.28251727117</v>
      </c>
      <c r="P18" s="81">
        <f>Austria!P$13+Belgium!P$7+'Czech Republic'!P$7+Denmark!P$13+France!P$18+Germany!P$13+Italy!P$12+Switzerland!P$11+Netherlands!P$5+UK!P$7+Poland!P$9</f>
        <v>216064.47999999998</v>
      </c>
      <c r="Q18" s="83">
        <f>Austria!Q$13+Belgium!Q$7+'Czech Republic'!Q$7+Denmark!Q$13+France!Q$18+Germany!Q$13+Italy!Q$12+Switzerland!Q$11+Netherlands!Q$5+UK!Q$7+Poland!Q$9</f>
        <v>218512.68</v>
      </c>
      <c r="R18" s="1"/>
    </row>
    <row r="19" spans="1:17" ht="12.75">
      <c r="A19" s="53" t="s">
        <v>26</v>
      </c>
      <c r="B19" s="58">
        <f t="shared" si="0"/>
        <v>-0.26986439801649786</v>
      </c>
      <c r="C19" s="141">
        <f>E19-'[1]EU - variety'!E19</f>
        <v>-5329</v>
      </c>
      <c r="D19" s="81">
        <f>F19-'[1]EU - variety'!F19</f>
        <v>-9038</v>
      </c>
      <c r="E19" s="159">
        <f>Austria!E$14+Belgium!E$8+Denmark!E$14+Germany!E$14+UK!E$8</f>
        <v>31068</v>
      </c>
      <c r="F19" s="81">
        <f>Austria!F$14+Belgium!F$8+Denmark!F$14+Germany!F$14+UK!F$8</f>
        <v>42551</v>
      </c>
      <c r="G19" s="81">
        <f>Austria!G$14+Belgium!G$8+Denmark!G$14+Germany!G$14+UK!G$8</f>
        <v>61120</v>
      </c>
      <c r="H19" s="81">
        <f>Austria!H$14+Belgium!H$8+Denmark!H$14+Germany!H$14+UK!H$8</f>
        <v>15147</v>
      </c>
      <c r="I19" s="81">
        <f>Austria!I$14+Belgium!I$8+Denmark!I$14+Germany!I$14+UK!I$8</f>
        <v>57558</v>
      </c>
      <c r="J19" s="81">
        <f>Austria!J$14+Belgium!J$8+Denmark!J$14+Germany!J$14+UK!J$8</f>
        <v>63450.9</v>
      </c>
      <c r="K19" s="81">
        <f>Austria!K$14+Belgium!K$8+Denmark!K$14+Germany!K$14+UK!K$8</f>
        <v>80111.74</v>
      </c>
      <c r="L19" s="81">
        <f>Austria!L$14+Belgium!L$8+Denmark!L$14+Germany!L$14+UK!L$8</f>
        <v>48006.22</v>
      </c>
      <c r="M19" s="81">
        <f>Austria!M$14+Belgium!M$8+Denmark!M$14+Germany!M$14+UK!M$8</f>
        <v>62503.68</v>
      </c>
      <c r="N19" s="81">
        <f>Austria!N$14+Belgium!N$8+Denmark!N$14+Germany!N$14+UK!N$8</f>
        <v>67236</v>
      </c>
      <c r="O19" s="81">
        <f>Austria!O$14+Belgium!O$8+Denmark!O$14+Germany!O$14+UK!O$8</f>
        <v>48694.72603176895</v>
      </c>
      <c r="P19" s="81">
        <f>Austria!P$14+Belgium!P$8+Denmark!P$14+Germany!P$14+UK!P$8</f>
        <v>68587</v>
      </c>
      <c r="Q19" s="83">
        <f>Austria!Q$14+Belgium!Q$8+Denmark!Q$14+Germany!Q$14+UK!Q$8</f>
        <v>64784</v>
      </c>
    </row>
    <row r="20" spans="1:20" ht="12.75">
      <c r="A20" s="53" t="s">
        <v>50</v>
      </c>
      <c r="B20" s="58"/>
      <c r="C20" s="141">
        <f>E20-'[1]EU - variety'!E20</f>
        <v>0</v>
      </c>
      <c r="D20" s="81">
        <f>F20-'[1]EU - variety'!F20</f>
        <v>0</v>
      </c>
      <c r="E20" s="159">
        <f>Italy!E$13</f>
        <v>0</v>
      </c>
      <c r="F20" s="81">
        <f>Italy!F$13</f>
        <v>0</v>
      </c>
      <c r="G20" s="81">
        <f>Italy!G$13</f>
        <v>0</v>
      </c>
      <c r="H20" s="81">
        <f>Italy!H$13</f>
        <v>0</v>
      </c>
      <c r="I20" s="81">
        <f>Italy!I$13</f>
        <v>0</v>
      </c>
      <c r="J20" s="81">
        <f>Italy!J$13</f>
        <v>0</v>
      </c>
      <c r="K20" s="81">
        <f>Italy!K$13</f>
        <v>6</v>
      </c>
      <c r="L20" s="81">
        <f>Italy!L$13</f>
        <v>0</v>
      </c>
      <c r="M20" s="81">
        <f>Italy!M$13+Poland!M$10</f>
        <v>60000</v>
      </c>
      <c r="N20" s="81">
        <f>Italy!N$13+Poland!N$10</f>
        <v>60002.004452036366</v>
      </c>
      <c r="O20" s="81">
        <f>Italy!O$13+Poland!O$10</f>
        <v>0</v>
      </c>
      <c r="P20" s="81">
        <f>Italy!P$13+Poland!P$10</f>
        <v>2</v>
      </c>
      <c r="Q20" s="83">
        <f>Italy!Q$13+Poland!Q$10</f>
        <v>1003</v>
      </c>
      <c r="T20" s="16"/>
    </row>
    <row r="21" spans="1:17" ht="12.75">
      <c r="A21" s="53" t="s">
        <v>34</v>
      </c>
      <c r="B21" s="58"/>
      <c r="C21" s="141">
        <f>E21-'[1]EU - variety'!E21</f>
        <v>0</v>
      </c>
      <c r="D21" s="81">
        <f>F21-'[1]EU - variety'!F21</f>
        <v>0</v>
      </c>
      <c r="E21" s="159">
        <f>Poland!E$11</f>
        <v>0</v>
      </c>
      <c r="F21" s="81">
        <f>Poland!F$11</f>
        <v>0</v>
      </c>
      <c r="G21" s="81">
        <f>Poland!G$11</f>
        <v>0</v>
      </c>
      <c r="H21" s="81">
        <f>Poland!H$11</f>
        <v>0</v>
      </c>
      <c r="I21" s="81">
        <f>Poland!I$11</f>
        <v>0</v>
      </c>
      <c r="J21" s="81">
        <f>Poland!J$11</f>
        <v>0</v>
      </c>
      <c r="K21" s="81">
        <f>Poland!K$11</f>
        <v>0</v>
      </c>
      <c r="L21" s="81">
        <f>Poland!L$11</f>
        <v>0</v>
      </c>
      <c r="M21" s="81">
        <f>Poland!M$11</f>
        <v>0</v>
      </c>
      <c r="N21" s="81">
        <f>Poland!N$11</f>
        <v>0</v>
      </c>
      <c r="O21" s="81">
        <f>Poland!O$11</f>
        <v>5000</v>
      </c>
      <c r="P21" s="81">
        <f>Poland!P$11</f>
        <v>26000</v>
      </c>
      <c r="Q21" s="83">
        <f>Poland!Q$11</f>
        <v>10000</v>
      </c>
    </row>
    <row r="22" spans="1:17" ht="12.75">
      <c r="A22" s="53" t="s">
        <v>18</v>
      </c>
      <c r="B22" s="58">
        <f t="shared" si="0"/>
        <v>0.5453349158910512</v>
      </c>
      <c r="C22" s="141">
        <f>E22-'[1]EU - variety'!E22</f>
        <v>-2867.1000000000004</v>
      </c>
      <c r="D22" s="81">
        <f>F22-'[1]EU - variety'!F22</f>
        <v>-2674.4039371762137</v>
      </c>
      <c r="E22" s="159">
        <f>Italy!E$14</f>
        <v>8024.299999999999</v>
      </c>
      <c r="F22" s="81">
        <f>Italy!F$14</f>
        <v>5192.596062823786</v>
      </c>
      <c r="G22" s="81">
        <f>Italy!G$14</f>
        <v>7615.2</v>
      </c>
      <c r="H22" s="81">
        <f>Italy!H$14</f>
        <v>2624</v>
      </c>
      <c r="I22" s="81">
        <f>Italy!I$14</f>
        <v>8335.43</v>
      </c>
      <c r="J22" s="81">
        <f>Italy!J$14</f>
        <v>10162.19</v>
      </c>
      <c r="K22" s="81">
        <f>Italy!K$14</f>
        <v>14809</v>
      </c>
      <c r="L22" s="81">
        <f>Italy!L$14</f>
        <v>10837</v>
      </c>
      <c r="M22" s="81">
        <f>Italy!M$14</f>
        <v>11344</v>
      </c>
      <c r="N22" s="81">
        <f>Italy!N$14</f>
        <v>6429.279906655189</v>
      </c>
      <c r="O22" s="81">
        <f>Italy!O$14</f>
        <v>14051.587397247065</v>
      </c>
      <c r="P22" s="81">
        <f>Italy!P$14</f>
        <v>8328.04</v>
      </c>
      <c r="Q22" s="83">
        <f>Italy!Q$14</f>
        <v>23702.27</v>
      </c>
    </row>
    <row r="23" spans="1:17" ht="12.75">
      <c r="A23" s="53" t="s">
        <v>13</v>
      </c>
      <c r="B23" s="58">
        <f t="shared" si="0"/>
        <v>0.480270654753696</v>
      </c>
      <c r="C23" s="141">
        <f>E23-'[1]EU - variety'!E23</f>
        <v>-14217</v>
      </c>
      <c r="D23" s="81">
        <f>F23-'[1]EU - variety'!F23</f>
        <v>-10141.839999999997</v>
      </c>
      <c r="E23" s="159">
        <f>Austria!E$16+Denmark!E$16+Germany!E$15+Switzerland!E$14+Poland!E$12+Italy!E$15</f>
        <v>40789.45</v>
      </c>
      <c r="F23" s="81">
        <f>Austria!F$16+Denmark!F$16+Germany!F$15+Switzerland!F$14+Poland!F$12+Italy!F$15</f>
        <v>27555.4</v>
      </c>
      <c r="G23" s="81">
        <f>Austria!G$16+Denmark!G$16+Germany!G$15+Switzerland!G$14+Poland!G$12+Italy!G$15</f>
        <v>33669.14</v>
      </c>
      <c r="H23" s="81">
        <f>Austria!H$16+Denmark!H$16+Germany!H$15+Switzerland!H$14+Poland!H$12</f>
        <v>2926</v>
      </c>
      <c r="I23" s="81">
        <f>Austria!I$16+Denmark!I$16+Germany!I$15+Switzerland!I$14+Poland!I$12</f>
        <v>7341.18</v>
      </c>
      <c r="J23" s="81">
        <f>Austria!J$16+Denmark!J$16+Germany!J$15+Switzerland!J$14+Poland!J$12</f>
        <v>9958.06</v>
      </c>
      <c r="K23" s="81">
        <f>Austria!K$16+Denmark!K$16+Germany!K$15+Switzerland!K$14+Poland!K$12</f>
        <v>9437.14</v>
      </c>
      <c r="L23" s="81">
        <f>Austria!L$16+Denmark!L$16+Germany!L$15+Switzerland!L$14+Poland!L$12</f>
        <v>7449.0599999999995</v>
      </c>
      <c r="M23" s="81">
        <f>Austria!M$15+Denmark!M$16+Germany!M$15+Switzerland!M$14</f>
        <v>6429</v>
      </c>
      <c r="N23" s="81">
        <f>Austria!N$16+Denmark!N$16+Germany!N$15+Switzerland!N$14</f>
        <v>6342</v>
      </c>
      <c r="O23" s="81">
        <f>Austria!O$16+Denmark!O$16+Germany!O$15+Switzerland!O$14</f>
        <v>5343</v>
      </c>
      <c r="P23" s="81">
        <f>Austria!P$16+Denmark!P$16+Germany!P$15+Switzerland!P$14</f>
        <v>6017</v>
      </c>
      <c r="Q23" s="83">
        <f>Austria!Q$16+Denmark!Q$16+Germany!Q$15+Switzerland!Q$14</f>
        <v>5457</v>
      </c>
    </row>
    <row r="24" spans="1:17" ht="12.75">
      <c r="A24" s="53" t="s">
        <v>19</v>
      </c>
      <c r="B24" s="58">
        <f t="shared" si="0"/>
        <v>0.19176340464615185</v>
      </c>
      <c r="C24" s="141">
        <f>E24-'[1]EU - variety'!E24</f>
        <v>-38585.365792244615</v>
      </c>
      <c r="D24" s="81">
        <f>F24-'[1]EU - variety'!F24</f>
        <v>-33564.36364447621</v>
      </c>
      <c r="E24" s="159">
        <f>'Czech Republic'!E$8+France!E$19+Italy!E$16+Spain!E$6+Poland!E$13</f>
        <v>86449.19479451797</v>
      </c>
      <c r="F24" s="81">
        <f>'Czech Republic'!F$8+France!F$19+Italy!F$16+Spain!F$6+Poland!F$13</f>
        <v>72538.89023399382</v>
      </c>
      <c r="G24" s="81">
        <f>'Czech Republic'!G$8+France!G$19+Italy!G$16+Spain!G$6+Poland!G$13</f>
        <v>84837.7</v>
      </c>
      <c r="H24" s="81">
        <f>'Czech Republic'!H$8+France!H$19+Italy!H$16+Spain!H$6+Poland!H$13</f>
        <v>49794</v>
      </c>
      <c r="I24" s="81">
        <f>'Czech Republic'!I$8+France!I$19+Italy!I$16+Spain!I$6+Poland!I$13</f>
        <v>77873.22979135257</v>
      </c>
      <c r="J24" s="81">
        <f>'Czech Republic'!J$8+France!J$19+Italy!J$16+Spain!J$6+Poland!J$13</f>
        <v>75851.63073132632</v>
      </c>
      <c r="K24" s="81">
        <f>'Czech Republic'!K$8+France!K$19+Italy!K$16+Spain!K$6+Poland!K$13</f>
        <v>70070.73400955455</v>
      </c>
      <c r="L24" s="81">
        <f>'Czech Republic'!L$8+France!L$19+Italy!L$16+Spain!L$6+Poland!L$13</f>
        <v>73878.20805761545</v>
      </c>
      <c r="M24" s="81">
        <f>'Czech Republic'!M$8+France!M$19+Italy!M$16+Spain!M$6+Poland!M$12+Poland!M$13</f>
        <v>47077.90483537404</v>
      </c>
      <c r="N24" s="81">
        <f>'Czech Republic'!N$8+France!N$19+Italy!N$16+Spain!N$6+Poland!N$12+Poland!N$13</f>
        <v>55572.97576380945</v>
      </c>
      <c r="O24" s="81">
        <f>'Czech Republic'!O$8+France!O$19+Italy!O$16+Spain!O$6+Poland!O$12+Poland!O$13</f>
        <v>56139.2744291121</v>
      </c>
      <c r="P24" s="81">
        <f>'Czech Republic'!P$8+France!P$19+Italy!P$16+Spain!P$6+Poland!P$12+Poland!P$13</f>
        <v>78326.89377230815</v>
      </c>
      <c r="Q24" s="83">
        <f>'Czech Republic'!Q$8+France!Q$19+Italy!Q$16+Spain!Q$6+Poland!Q$12+Poland!Q$13</f>
        <v>66542.92659271014</v>
      </c>
    </row>
    <row r="25" spans="1:17" ht="12.75">
      <c r="A25" s="53" t="s">
        <v>133</v>
      </c>
      <c r="B25" s="58">
        <f t="shared" si="0"/>
        <v>0.34354757687121595</v>
      </c>
      <c r="C25" s="141">
        <f>E25-'[1]EU - variety'!E25</f>
        <v>-26137.300000000003</v>
      </c>
      <c r="D25" s="81">
        <f>F25-'[1]EU - variety'!F25</f>
        <v>-19429.679999999993</v>
      </c>
      <c r="E25" s="159">
        <f>Germany!E$16+Austria!E$17+Poland!E$14</f>
        <v>101634</v>
      </c>
      <c r="F25" s="81">
        <f>Germany!F$16+Austria!F$17+Poland!F$14</f>
        <v>75646</v>
      </c>
      <c r="G25" s="81">
        <f>Germany!G$16+Austria!G$17+Poland!G$14</f>
        <v>71848.38</v>
      </c>
      <c r="H25" s="81">
        <f>Germany!H$16+Austria!H$17</f>
        <v>28554</v>
      </c>
      <c r="I25" s="81">
        <f>Germany!I$16</f>
        <v>44254</v>
      </c>
      <c r="J25" s="81">
        <f>Germany!J$16</f>
        <v>28200</v>
      </c>
      <c r="K25" s="81">
        <f>Germany!K$16</f>
        <v>24718</v>
      </c>
      <c r="L25" s="81">
        <f>Germany!L$16</f>
        <v>12045</v>
      </c>
      <c r="M25" s="81">
        <f>Germany!M$16</f>
        <v>16692</v>
      </c>
      <c r="N25" s="81">
        <f>Germany!N$16</f>
        <v>12671</v>
      </c>
      <c r="O25" s="81">
        <f>Germany!O$16</f>
        <v>7452</v>
      </c>
      <c r="P25" s="81">
        <f>Germany!P$16</f>
        <v>10952</v>
      </c>
      <c r="Q25" s="83">
        <f>Germany!Q$16</f>
        <v>7842</v>
      </c>
    </row>
    <row r="26" spans="1:103" s="4" customFormat="1" ht="13.5" thickBot="1">
      <c r="A26" s="53" t="s">
        <v>122</v>
      </c>
      <c r="B26" s="58">
        <f t="shared" si="0"/>
        <v>0.28982128982128974</v>
      </c>
      <c r="C26" s="141">
        <f>E26-'[1]EU - variety'!E26</f>
        <v>-10232.86</v>
      </c>
      <c r="D26" s="81">
        <f>F26-'[1]EU - variety'!F26</f>
        <v>-6262.799999999999</v>
      </c>
      <c r="E26" s="159">
        <f>France!E$21+France!E$20+Italy!E$17+Switzerland!E$12</f>
        <v>14276</v>
      </c>
      <c r="F26" s="81">
        <f>France!F$21+France!F$20+Italy!F$17+Switzerland!F$12</f>
        <v>11068.2</v>
      </c>
      <c r="G26" s="81">
        <f>France!G$21+France!G$20+Italy!G$17+Switzerland!G$12</f>
        <v>17127</v>
      </c>
      <c r="H26" s="81">
        <f>France!H$21+France!H$20+Italy!H$17+Switzerland!H$12</f>
        <v>2336</v>
      </c>
      <c r="I26" s="81">
        <f>France!I$21+France!I$20+Italy!I$17+Switzerland!I$12</f>
        <v>11515.4</v>
      </c>
      <c r="J26" s="81">
        <f>France!J$21+France!J$20+Italy!J$17+Switzerland!J$12</f>
        <v>13019.5</v>
      </c>
      <c r="K26" s="81">
        <f>France!K$21+France!K$20+Italy!K$17+Switzerland!K$12</f>
        <v>11015</v>
      </c>
      <c r="L26" s="81">
        <f>France!L$21+France!L$20+Italy!L$17+Switzerland!L$12</f>
        <v>16085</v>
      </c>
      <c r="M26" s="81">
        <f>France!M$21+France!M$20+Italy!M$17+Switzerland!M$12</f>
        <v>3482</v>
      </c>
      <c r="N26" s="81">
        <f>France!N$21+France!N$20+Italy!N$17+Switzerland!N$12</f>
        <v>10813.886782428579</v>
      </c>
      <c r="O26" s="81">
        <f>France!O$21+France!O$20+Italy!O$17+Switzerland!O$12</f>
        <v>12105.002024925874</v>
      </c>
      <c r="P26" s="81">
        <f>France!P$21+France!P$20+Italy!P$17+Switzerland!P$12</f>
        <v>10828.1</v>
      </c>
      <c r="Q26" s="83">
        <f>France!Q$21+France!Q$20+Italy!Q$17+Switzerland!Q$12</f>
        <v>1557.9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7" s="16" customFormat="1" ht="12.75">
      <c r="A27" s="53" t="s">
        <v>89</v>
      </c>
      <c r="B27" s="58">
        <f t="shared" si="0"/>
        <v>0.2631081249222347</v>
      </c>
      <c r="C27" s="141">
        <f>E27-'[1]EU - variety'!E27</f>
        <v>-30716</v>
      </c>
      <c r="D27" s="81">
        <f>F27-'[1]EU - variety'!F27</f>
        <v>-20190</v>
      </c>
      <c r="E27" s="159">
        <f>'Czech Republic'!E$9+Germany!E$17+Poland!E$15</f>
        <v>50758</v>
      </c>
      <c r="F27" s="81">
        <f>'Czech Republic'!F$9+Germany!F$17+Poland!F$15</f>
        <v>40185</v>
      </c>
      <c r="G27" s="81">
        <f>'Czech Republic'!G$9+Germany!G$17+Poland!G$15</f>
        <v>125724</v>
      </c>
      <c r="H27" s="81">
        <f>'Czech Republic'!H$9+Germany!H$17+Poland!H$15</f>
        <v>35134</v>
      </c>
      <c r="I27" s="81">
        <f>'Czech Republic'!I$9+Germany!I$17+Poland!I$15</f>
        <v>70724</v>
      </c>
      <c r="J27" s="81">
        <f>'Czech Republic'!J$9+Germany!J$17+Poland!J$15</f>
        <v>71564</v>
      </c>
      <c r="K27" s="81">
        <f>'Czech Republic'!K$9+Germany!K$17+Poland!K$15</f>
        <v>65837</v>
      </c>
      <c r="L27" s="81">
        <f>'Czech Republic'!L$9+Germany!L$17+Poland!L$15</f>
        <v>70099</v>
      </c>
      <c r="M27" s="81">
        <f>'Czech Republic'!M$9+Germany!M$17+Poland!M$15</f>
        <v>51088</v>
      </c>
      <c r="N27" s="81">
        <f>'Czech Republic'!N$9+Germany!N$17+Poland!N$15</f>
        <v>51020</v>
      </c>
      <c r="O27" s="81">
        <f>'Czech Republic'!O$9+Germany!O$17+Poland!O$15</f>
        <v>20372</v>
      </c>
      <c r="P27" s="81">
        <f>'Czech Republic'!P$9+Germany!P$17+Poland!P$15</f>
        <v>20115</v>
      </c>
      <c r="Q27" s="83">
        <f>'Czech Republic'!Q$9+Germany!Q$17+Poland!Q$15</f>
        <v>20229</v>
      </c>
    </row>
    <row r="28" spans="1:17" ht="12.75">
      <c r="A28" s="53" t="s">
        <v>21</v>
      </c>
      <c r="B28" s="58"/>
      <c r="C28" s="141">
        <f>E28-'[1]EU - variety'!E28</f>
        <v>0</v>
      </c>
      <c r="D28" s="81">
        <f>F28-'[1]EU - variety'!F28</f>
        <v>0</v>
      </c>
      <c r="E28" s="159">
        <f>Italy!E$18</f>
        <v>0</v>
      </c>
      <c r="F28" s="81">
        <f>Italy!F$18</f>
        <v>0</v>
      </c>
      <c r="G28" s="81">
        <f>Italy!G$18</f>
        <v>407</v>
      </c>
      <c r="H28" s="81">
        <f>Italy!H$18</f>
        <v>671</v>
      </c>
      <c r="I28" s="81">
        <f>Italy!I$18</f>
        <v>4410.4</v>
      </c>
      <c r="J28" s="81">
        <f>Italy!J$18</f>
        <v>5295.5</v>
      </c>
      <c r="K28" s="81">
        <f>Italy!K$18</f>
        <v>5820</v>
      </c>
      <c r="L28" s="81">
        <f>Italy!L$18</f>
        <v>3515</v>
      </c>
      <c r="M28" s="81">
        <f>Italy!M$18</f>
        <v>365</v>
      </c>
      <c r="N28" s="81">
        <f>Italy!N$18</f>
        <v>4173.26913972131</v>
      </c>
      <c r="O28" s="81">
        <f>Italy!O$18</f>
        <v>4684.197027353718</v>
      </c>
      <c r="P28" s="81">
        <f>Italy!P$18</f>
        <v>2353.65</v>
      </c>
      <c r="Q28" s="83">
        <f>Italy!Q$18</f>
        <v>3581.78</v>
      </c>
    </row>
    <row r="29" spans="1:17" ht="12.75">
      <c r="A29" s="53" t="s">
        <v>35</v>
      </c>
      <c r="B29" s="58"/>
      <c r="C29" s="141">
        <f>E29-'[1]EU - variety'!E29</f>
        <v>-296</v>
      </c>
      <c r="D29" s="81">
        <f>F29-'[1]EU - variety'!F29</f>
        <v>-50</v>
      </c>
      <c r="E29" s="159">
        <f>'Czech Republic'!E$10+UK!E$9+Poland!E$16+Denmark!E$17</f>
        <v>31</v>
      </c>
      <c r="F29" s="81">
        <f>'Czech Republic'!F$10+UK!F$9+Poland!F$16+Denmark!F$17</f>
        <v>60</v>
      </c>
      <c r="G29" s="81">
        <f>'Czech Republic'!G$10+UK!G$9+Poland!G$16+Denmark!G$17</f>
        <v>12</v>
      </c>
      <c r="H29" s="81">
        <f>'Czech Republic'!H$10+UK!H$9+Poland!H$16+Denmark!H$17</f>
        <v>0</v>
      </c>
      <c r="I29" s="81">
        <f>'Czech Republic'!I$10+UK!I$9+Poland!I$16+Denmark!I$17</f>
        <v>0</v>
      </c>
      <c r="J29" s="81">
        <f>'Czech Republic'!J$10+UK!J$9+Poland!J$16+Denmark!J$17</f>
        <v>25</v>
      </c>
      <c r="K29" s="81">
        <f>'Czech Republic'!K$10+UK!K$9+Poland!K$16+Denmark!K$17</f>
        <v>2</v>
      </c>
      <c r="L29" s="81">
        <f>'Czech Republic'!L$10+UK!L$9+Poland!L$16+Denmark!L$17</f>
        <v>0</v>
      </c>
      <c r="M29" s="81">
        <f>'Czech Republic'!M$10+UK!M$9+Poland!M$16+Denmark!M$17</f>
        <v>8</v>
      </c>
      <c r="N29" s="81">
        <f>'Czech Republic'!N$10+UK!N$9+Poland!N$16</f>
        <v>0</v>
      </c>
      <c r="O29" s="81">
        <f>'Czech Republic'!O$10+UK!O$9+Poland!O$16</f>
        <v>0</v>
      </c>
      <c r="P29" s="81">
        <f>'Czech Republic'!P$10+UK!P$9+Poland!P$16</f>
        <v>0</v>
      </c>
      <c r="Q29" s="83">
        <f>'Czech Republic'!Q$10+UK!Q$9+Poland!Q$16</f>
        <v>1000</v>
      </c>
    </row>
    <row r="30" spans="1:17" ht="12.75">
      <c r="A30" s="53" t="s">
        <v>123</v>
      </c>
      <c r="B30" s="58">
        <f t="shared" si="0"/>
        <v>-0.031159420289855026</v>
      </c>
      <c r="C30" s="141">
        <f>E30-'[1]EU - variety'!E30</f>
        <v>-29113.800000000003</v>
      </c>
      <c r="D30" s="81">
        <f>F30-'[1]EU - variety'!F30</f>
        <v>-19496.08</v>
      </c>
      <c r="E30" s="159">
        <f>Austria!E$6+Denmark!E$18+France!E$2+France!E$24+France!E$17+France!E$15+France!E$13+Switzerland!E$17+UK!E$10+Germany!E$19+Netherlands!E$6</f>
        <v>61368.3</v>
      </c>
      <c r="F30" s="81">
        <f>Austria!F$6+Denmark!F$18+France!F$2+France!F$24+France!F$17+France!F$15+France!F$13+Switzerland!F$17+UK!F$10+Germany!F$19+Netherlands!F$6</f>
        <v>63342</v>
      </c>
      <c r="G30" s="81">
        <f>Austria!G$6+Denmark!G$18+France!G$2+France!G$24+France!G$17+France!G$15+France!G$13+Switzerland!G$17+UK!G$10+Germany!G$19+Netherlands!G$6</f>
        <v>72316.86</v>
      </c>
      <c r="H30" s="81">
        <f>Austria!H$6+Denmark!H$18+France!H$2+France!H$24+France!H$17+France!H$15+France!H$13+Switzerland!H$17+UK!H$10+Germany!H$19+Netherlands!H$6</f>
        <v>30787</v>
      </c>
      <c r="I30" s="81">
        <f>Austria!I$6+Denmark!I$18+France!I$2+France!I$24+France!I$17+France!I$15+France!I$13+Switzerland!I$17+UK!I$10+Germany!I$19+Netherlands!I$6</f>
        <v>52207.24</v>
      </c>
      <c r="J30" s="81">
        <f>Austria!J$6+Denmark!J$18+France!J$2+France!J$24+France!J$17+France!J$15+France!J$13+Switzerland!J$17+UK!J$10+Germany!J$19+Netherlands!J$6</f>
        <v>52433.380000000005</v>
      </c>
      <c r="K30" s="81">
        <f>Austria!K$6+Denmark!K$18+France!K$2+France!K$24+France!K$17+France!K$15+France!K$13+Switzerland!K$17+UK!K$10+Germany!K$19+Netherlands!K$6</f>
        <v>55705.6</v>
      </c>
      <c r="L30" s="81">
        <f>Austria!L$6+Denmark!L$18+France!L$2+France!L$24+France!L$17+France!L$15+France!L$13+Switzerland!L$17+UK!L$10+Germany!L$19+Netherlands!L$6</f>
        <v>49079.76</v>
      </c>
      <c r="M30" s="81">
        <f>Austria!M$6+Denmark!M$18+France!M$2+France!M$24+France!M$17+France!M$15+France!M$13+Switzerland!M$17+UK!M$10+Germany!M$19+Netherlands!M$6</f>
        <v>19513.059999999998</v>
      </c>
      <c r="N30" s="81">
        <f>Austria!N$6+Denmark!N$18+France!N$2+France!N$24+France!N$17+France!N$15+France!N$13+Switzerland!N$17+UK!N$10+Germany!N$19+Netherlands!N$6</f>
        <v>23511</v>
      </c>
      <c r="O30" s="81">
        <f>Austria!O$6+Denmark!O$18+France!O$2+France!O$24+France!O$17+France!O$15+France!O$13+Switzerland!O$17+UK!O$10+Germany!O$19+Netherlands!O$6</f>
        <v>15890</v>
      </c>
      <c r="P30" s="81">
        <f>Austria!P$6+Denmark!P$18+France!P$2+France!P$24+France!P$17+France!P$15+France!P$13+Switzerland!P$17+UK!P$10+Germany!P$19+Netherlands!P$6</f>
        <v>20263</v>
      </c>
      <c r="Q30" s="83">
        <f>Austria!Q$6+Denmark!Q$18+France!Q$2+France!Q$24+France!Q$17+France!Q$15+France!Q$13+Switzerland!Q$17+UK!Q$10+Germany!Q$19+Netherlands!Q$6</f>
        <v>1837</v>
      </c>
    </row>
    <row r="31" spans="1:19" ht="13.5" thickBot="1">
      <c r="A31" s="54" t="s">
        <v>6</v>
      </c>
      <c r="B31" s="59">
        <f t="shared" si="0"/>
        <v>1.0507230856253555</v>
      </c>
      <c r="C31" s="142">
        <f>E31-'[1]EU - variety'!E31</f>
        <v>-105985.23999999996</v>
      </c>
      <c r="D31" s="82">
        <f>F31-'[1]EU - variety'!F31</f>
        <v>-59988.509999999995</v>
      </c>
      <c r="E31" s="56">
        <f>Austria!E$2+Austria!E$15+Austria!E$18+Austria!E$19+Austria!E$20+Belgium!E$9+'Czech Republic'!E$11+Denmark!E$3+Denmark!E$15+Denmark!E$12+Denmark!E$19+Germany!E$12+Germany!E$18+Germany!E$20+Italy!E$19+Spain!E$7+Switzerland!E$7+Switzerland!E$13+Switzerland!E$15+Switzerland!E$16+Switzerland!E$18+Netherlands!E$7+UK!E$11+France!E$3+France!E$7+France!E$22+France!E$23+France!E$25+Poland!E$10+Poland!E$17</f>
        <v>254397.1</v>
      </c>
      <c r="F31" s="82">
        <f>Austria!F$2+Austria!F$15+Austria!F$18+Austria!F$19+Austria!F$20+Belgium!F$9+'Czech Republic'!F$11+Denmark!F$3+Denmark!F$15+Denmark!F$12+Denmark!F$19+Germany!F$12+Germany!F$18+Germany!F$20+Italy!F$19+Spain!F$7+Switzerland!F$7+Switzerland!F$13+Switzerland!F$15+Switzerland!F$16+Switzerland!F$18+Netherlands!F$7+UK!F$11+France!F$3+France!F$7+France!F$22+France!F$23+France!F$25+Poland!F$10+Poland!F$17</f>
        <v>124052.39</v>
      </c>
      <c r="G31" s="82">
        <f>Austria!G$2+Austria!G$15+Austria!G$18+Austria!G$19+Austria!G$20+Belgium!G$9+'Czech Republic'!G$11+Denmark!G$3+Denmark!G$15+Denmark!G$12+Denmark!G$19+Germany!G$12+Germany!G$18+Germany!G$20+Italy!G$19+Spain!G$7+Switzerland!G$7+Switzerland!G$13+Switzerland!G$15+Switzerland!G$16+Switzerland!G$18+Netherlands!G$7+UK!G$11+France!G$3+France!G$7+France!G$22+France!G$23+France!G$25+Poland!G$10+Poland!G$17</f>
        <v>258052.52000000002</v>
      </c>
      <c r="H31" s="82">
        <f>Austria!H$2+Austria!H$15+Austria!H$18+Austria!H$19+Austria!H$20+Belgium!H$9+'Czech Republic'!H$11+Denmark!H$3+Denmark!H$15+Denmark!H$12+Denmark!H$19+Germany!H$12+Germany!H$18+Germany!H$20+Italy!H$19+Spain!H$7+Switzerland!H$7+Switzerland!H$13+Switzerland!H$15+Switzerland!H$16+Switzerland!H$18+Netherlands!H$7+UK!H$11+France!H$3+France!H$7+France!H$22+France!H$23+France!H$25+Poland!H$10+Poland!H$17</f>
        <v>80473</v>
      </c>
      <c r="I31" s="82">
        <f>Austria!I$2+Austria!I$15+Austria!I$18+Austria!I$19+Austria!I$20+Belgium!I$9+'Czech Republic'!I$11+Denmark!I$3+Denmark!I$15+Denmark!I$12+Denmark!I$19+Germany!I$12+Germany!I$18+Germany!I$20+Italy!I$19+Spain!I$7+Switzerland!I$7+Switzerland!I$13+Switzerland!I$15+Switzerland!I$16+Switzerland!I$18+Netherlands!I$7+UK!I$11+France!I$3+France!I$7+France!I$22+France!I$23+France!I$25+Poland!I$10+Poland!I$17</f>
        <v>214031.2</v>
      </c>
      <c r="J31" s="82">
        <f>Austria!J$2+Austria!J$15+Austria!J$18+Austria!J$19+Austria!J$20+Belgium!J$9+'Czech Republic'!J$11+Denmark!J$3+Denmark!J$15+Denmark!J$12+Denmark!J$19+Germany!J$12+Germany!J$18+Germany!J$20+Italy!J$19+Spain!J$7+Switzerland!J$7+Switzerland!J$13+Switzerland!J$15+Switzerland!J$16+Switzerland!J$18+Netherlands!J$7+UK!J$11+France!J$3+France!J$7+France!J$22+France!J$23+France!J$25+Poland!J$10+Poland!J$17</f>
        <v>226831.66</v>
      </c>
      <c r="K31" s="82">
        <f>Austria!K$2+Austria!K$15+Austria!K$18+Austria!K$19+Austria!K$20+Belgium!K$9+'Czech Republic'!K$11+Denmark!K$3+Denmark!K$15+Denmark!K$12+Denmark!K$19+Germany!K$12+Germany!K$18+Germany!K$20+Italy!K$19+Spain!K$7+Switzerland!K$7+Switzerland!K$13+Switzerland!K$15+Switzerland!K$16+Switzerland!K$18+Netherlands!K$7+UK!K$11+France!K$3+France!K$7+France!K$22+France!K$23+France!K$25+Poland!K$10+Poland!K$17</f>
        <v>185468.818</v>
      </c>
      <c r="L31" s="82">
        <f>Austria!L$2+Austria!L$15+Austria!L$18+Austria!L$19+Austria!L$20+Belgium!L$9+'Czech Republic'!L$11+Denmark!L$3+Denmark!L$15+Denmark!L$12+Denmark!L$19+Germany!L$12+Germany!L$18+Germany!L$20+Italy!L$19+Spain!L$7+Switzerland!L$7+Switzerland!L$13+Switzerland!L$15+Switzerland!L$16+Switzerland!L$18+Netherlands!L$7+UK!L$11+France!L$3+France!L$7+France!L$22+France!L$23+France!L$25+Poland!L$10+Poland!L$17</f>
        <v>162912.474</v>
      </c>
      <c r="M31" s="82">
        <f>Austria!M$2+Austria!M$15+Austria!M$18+Austria!M$19+Austria!M$20+Belgium!M$9+'Czech Republic'!M$11+Denmark!M$3+Denmark!M$15+Denmark!M$12+Denmark!M$19+Germany!M$12+Germany!M$18+Germany!M$20+Italy!M$19+Spain!M$7+Switzerland!M$7+Switzerland!M$13+Switzerland!M$15+Switzerland!M$16+Switzerland!M$18+Netherlands!M$7+UK!M$11+France!M$3+France!M$7+France!M$22+France!M$23+France!M$25+Poland!M$10+Poland!M$17</f>
        <v>117752.48</v>
      </c>
      <c r="N31" s="82">
        <f>Austria!N$2+Austria!N$15+Austria!N$18+Austria!N$19+Austria!N$20+Belgium!N$9+'Czech Republic'!N$11+Denmark!N$3+Denmark!N$15+Denmark!N$12+Denmark!N$19+Germany!N$12+Germany!N$18+Germany!N$20+Italy!N$19+Spain!N$7+Switzerland!N$7+Switzerland!N$13+Switzerland!N$15+Switzerland!N$16+Switzerland!N$18+Netherlands!N$7+UK!N$11+France!N$3+France!N$7+France!N$22+France!N$23+France!N$25+Poland!N$10+Poland!N$17</f>
        <v>144728.55821030829</v>
      </c>
      <c r="O31" s="82">
        <f>Austria!O$2+Austria!O$15+Austria!O$18+Austria!O$19+Austria!O$20+Belgium!O$9+'Czech Republic'!O$11+Denmark!O$3+Denmark!O$15+Denmark!O$12+Denmark!O$19+Germany!O$12+Germany!O$18+Germany!O$20+Italy!O$19+Spain!O$7+Switzerland!O$7+Switzerland!O$13+Switzerland!O$15+Switzerland!O$16+Switzerland!O$18+Netherlands!O$7+UK!O$11+France!O$3+France!O$7+France!O$22+France!O$23+France!O$25+Poland!O$10+Poland!O$17</f>
        <v>84146.83953386958</v>
      </c>
      <c r="P31" s="82">
        <f>Austria!P$2+Austria!P$15+Austria!P$18+Austria!P$19+Austria!P$20+Belgium!P$9+'Czech Republic'!P$11+Denmark!P$3+Denmark!P$15+Denmark!P$12+Denmark!P$19+Germany!P$12+Germany!P$18+Germany!P$20+Italy!P$19+Spain!P$7+Switzerland!P$7+Switzerland!P$13+Switzerland!P$15+Switzerland!P$16+Switzerland!P$18+Netherlands!P$7+UK!P$11+France!P$3+France!P$7+France!P$22+France!P$23+France!P$25+Poland!P$10+Poland!P$17</f>
        <v>95057</v>
      </c>
      <c r="Q31" s="84">
        <f>Austria!Q$2+Austria!Q$15+Austria!Q$18+Austria!Q$19+Austria!Q$20+Belgium!Q$9+'Czech Republic'!Q$11+Denmark!Q$3+Denmark!Q$15+Denmark!Q$12+Denmark!Q$19+Germany!Q$12+Germany!Q$18+Germany!Q$20+Italy!Q$19+Spain!Q$7+Switzerland!Q$7+Switzerland!Q$13+Switzerland!Q$15+Switzerland!Q$16+Switzerland!Q$18+Netherlands!Q$7+UK!Q$11+France!Q$3+France!Q$7+France!Q$22+France!Q$23+France!Q$25+Poland!Q$10+Poland!Q$17</f>
        <v>58536</v>
      </c>
      <c r="S31" s="3"/>
    </row>
    <row r="32" spans="1:17" ht="13.5" thickBot="1">
      <c r="A32" s="55" t="s">
        <v>92</v>
      </c>
      <c r="B32" s="91">
        <f t="shared" si="0"/>
        <v>0.08137411683845386</v>
      </c>
      <c r="C32" s="167">
        <f>E32-'[1]EU - variety'!E32</f>
        <v>-777203.0071448868</v>
      </c>
      <c r="D32" s="42">
        <f>F32-'[1]EU - variety'!F32</f>
        <v>-667809.4409304173</v>
      </c>
      <c r="E32" s="115">
        <f>SUM(E2:E31)</f>
        <v>1922817.3438462594</v>
      </c>
      <c r="F32" s="42">
        <f aca="true" t="shared" si="1" ref="F32:K32">SUM(F2:F31)</f>
        <v>1778124.0681697475</v>
      </c>
      <c r="G32" s="42">
        <f t="shared" si="1"/>
        <v>2297629.4400000004</v>
      </c>
      <c r="H32" s="42">
        <f t="shared" si="1"/>
        <v>1173703</v>
      </c>
      <c r="I32" s="103">
        <f t="shared" si="1"/>
        <v>2067522.181893107</v>
      </c>
      <c r="J32" s="103">
        <f t="shared" si="1"/>
        <v>2164750.74128809</v>
      </c>
      <c r="K32" s="103">
        <f t="shared" si="1"/>
        <v>2109759.9948823964</v>
      </c>
      <c r="L32" s="103">
        <f aca="true" t="shared" si="2" ref="L32:Q32">SUM(L2:L31)</f>
        <v>1978916.2619515972</v>
      </c>
      <c r="M32" s="103">
        <f t="shared" si="2"/>
        <v>1520801.1980709115</v>
      </c>
      <c r="N32" s="103">
        <f t="shared" si="2"/>
        <v>1899330.3485178344</v>
      </c>
      <c r="O32" s="103">
        <f t="shared" si="2"/>
        <v>1454747.2551453433</v>
      </c>
      <c r="P32" s="103">
        <f t="shared" si="2"/>
        <v>1736189.0092790702</v>
      </c>
      <c r="Q32" s="108">
        <f t="shared" si="2"/>
        <v>1439122.6228119342</v>
      </c>
    </row>
    <row r="33" spans="1:9" ht="12.75">
      <c r="A33" s="63" t="s">
        <v>148</v>
      </c>
      <c r="I33" s="9"/>
    </row>
    <row r="34" spans="2:17" ht="13.5" thickBot="1">
      <c r="B34" s="3"/>
      <c r="C34" s="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1:17" s="63" customFormat="1" ht="13.5" thickBot="1">
      <c r="A35" s="62" t="s">
        <v>91</v>
      </c>
      <c r="B35" s="32" t="s">
        <v>178</v>
      </c>
      <c r="C35" s="162" t="s">
        <v>177</v>
      </c>
      <c r="D35" s="93" t="s">
        <v>171</v>
      </c>
      <c r="E35" s="165">
        <v>44287</v>
      </c>
      <c r="F35" s="132">
        <v>43922</v>
      </c>
      <c r="G35" s="132">
        <v>43556</v>
      </c>
      <c r="H35" s="132">
        <v>43191</v>
      </c>
      <c r="I35" s="33">
        <v>42826</v>
      </c>
      <c r="J35" s="33">
        <v>42461</v>
      </c>
      <c r="K35" s="33">
        <v>42095</v>
      </c>
      <c r="L35" s="33">
        <v>41730</v>
      </c>
      <c r="M35" s="33">
        <v>41365</v>
      </c>
      <c r="N35" s="33">
        <v>41000</v>
      </c>
      <c r="O35" s="33">
        <v>40634</v>
      </c>
      <c r="P35" s="33">
        <v>40269</v>
      </c>
      <c r="Q35" s="50">
        <v>39904</v>
      </c>
    </row>
    <row r="36" spans="1:17" s="63" customFormat="1" ht="12.75">
      <c r="A36" s="109" t="s">
        <v>103</v>
      </c>
      <c r="B36" s="110" t="e">
        <f aca="true" t="shared" si="3" ref="B36:B44">(E36-F36)/F36</f>
        <v>#DIV/0!</v>
      </c>
      <c r="C36" s="141">
        <f>E36-'[1]EU - variety'!E36</f>
        <v>-27256.425621819155</v>
      </c>
      <c r="D36" s="111">
        <f>F36-'[1]EU - variety'!F36</f>
        <v>0</v>
      </c>
      <c r="E36" s="128">
        <f>Italy!E$24</f>
        <v>22320.682140573485</v>
      </c>
      <c r="F36" s="111">
        <f>Italy!F$24</f>
        <v>0</v>
      </c>
      <c r="G36" s="111">
        <f>Italy!G$24</f>
        <v>26829.81983019228</v>
      </c>
      <c r="H36" s="111">
        <f>Italy!H$24</f>
        <v>34021.7952909856</v>
      </c>
      <c r="I36" s="81">
        <f>Italy!I$24</f>
        <v>20538.413424085287</v>
      </c>
      <c r="J36" s="111">
        <f>Italy!J$24</f>
        <v>25154.20880092511</v>
      </c>
      <c r="K36" s="111">
        <f>Italy!K$24</f>
        <v>17792</v>
      </c>
      <c r="L36" s="111">
        <f>Italy!L$24</f>
        <v>26651</v>
      </c>
      <c r="M36" s="111">
        <f>Italy!M$24</f>
        <v>2711.7173071990696</v>
      </c>
      <c r="N36" s="111">
        <f>Italy!N$24</f>
        <v>28065.939289488546</v>
      </c>
      <c r="O36" s="111">
        <f>Italy!O$24</f>
        <v>6928</v>
      </c>
      <c r="P36" s="111">
        <f>Italy!P$24</f>
        <v>3959</v>
      </c>
      <c r="Q36" s="112">
        <f>Italy!Q$24</f>
        <v>3252</v>
      </c>
    </row>
    <row r="37" spans="1:17" s="63" customFormat="1" ht="12.75">
      <c r="A37" s="64" t="s">
        <v>38</v>
      </c>
      <c r="B37" s="65">
        <f t="shared" si="3"/>
        <v>-0.029405623518132334</v>
      </c>
      <c r="C37" s="141">
        <f>E37-'[1]EU - variety'!E37</f>
        <v>-600.5018967474025</v>
      </c>
      <c r="D37" s="86">
        <f>F37-'[1]EU - variety'!F37</f>
        <v>-875.455441580263</v>
      </c>
      <c r="E37" s="163">
        <f>Spain!E$12</f>
        <v>839</v>
      </c>
      <c r="F37" s="86">
        <f>Spain!F$12</f>
        <v>864.4187730008695</v>
      </c>
      <c r="G37" s="86">
        <f>Spain!G$12</f>
        <v>612</v>
      </c>
      <c r="H37" s="86">
        <f>Spain!H$12</f>
        <v>916</v>
      </c>
      <c r="I37" s="81">
        <f>Spain!I$12</f>
        <v>985.7821236553427</v>
      </c>
      <c r="J37" s="86">
        <f>Spain!J$12</f>
        <v>372.6934439260891</v>
      </c>
      <c r="K37" s="86">
        <f>Spain!K$12</f>
        <v>585.4961048423876</v>
      </c>
      <c r="L37" s="86">
        <f>Spain!L$12</f>
        <v>2521.915100076145</v>
      </c>
      <c r="M37" s="86">
        <f>Spain!M$12</f>
        <v>62.54136214165181</v>
      </c>
      <c r="N37" s="86">
        <f>Spain!N$12</f>
        <v>3179.966075352717</v>
      </c>
      <c r="O37" s="86">
        <f>Spain!O$12</f>
        <v>2263</v>
      </c>
      <c r="P37" s="86">
        <f>Spain!P$12</f>
        <v>1451.426480970579</v>
      </c>
      <c r="Q37" s="88">
        <f>Spain!Q$12</f>
        <v>894.486321737664</v>
      </c>
    </row>
    <row r="38" spans="1:17" s="61" customFormat="1" ht="12.75">
      <c r="A38" s="64" t="s">
        <v>39</v>
      </c>
      <c r="B38" s="65">
        <f t="shared" si="3"/>
        <v>3.123895314317921</v>
      </c>
      <c r="C38" s="141">
        <f>E38-'[1]EU - variety'!E38</f>
        <v>-1126.7569462095985</v>
      </c>
      <c r="D38" s="86">
        <f>F38-'[1]EU - variety'!F38</f>
        <v>-1201.7634726222282</v>
      </c>
      <c r="E38" s="163">
        <f>Spain!E$13</f>
        <v>2304.635547135468</v>
      </c>
      <c r="F38" s="86">
        <f>Spain!F$13</f>
        <v>558.8491878379913</v>
      </c>
      <c r="G38" s="86">
        <f>Spain!G$13</f>
        <v>1653</v>
      </c>
      <c r="H38" s="86">
        <f>Spain!H$13</f>
        <v>3346</v>
      </c>
      <c r="I38" s="81">
        <f>Spain!I$13</f>
        <v>1542.234650417612</v>
      </c>
      <c r="J38" s="86">
        <f>Spain!J$13</f>
        <v>1859.3620256859326</v>
      </c>
      <c r="K38" s="86">
        <f>Spain!K$13</f>
        <v>4275.040658072148</v>
      </c>
      <c r="L38" s="86">
        <f>Spain!L$13</f>
        <v>3904.734051373893</v>
      </c>
      <c r="M38" s="86">
        <f>Spain!M$13</f>
        <v>1873.002115138647</v>
      </c>
      <c r="N38" s="86">
        <f>Spain!N$13</f>
        <v>4672.49398312916</v>
      </c>
      <c r="O38" s="86">
        <f>Spain!O$13</f>
        <v>7701</v>
      </c>
      <c r="P38" s="86">
        <f>Spain!P$13</f>
        <v>6311.930972154586</v>
      </c>
      <c r="Q38" s="88">
        <f>Spain!Q$13</f>
        <v>2045.5221628081351</v>
      </c>
    </row>
    <row r="39" spans="1:17" s="61" customFormat="1" ht="12.75">
      <c r="A39" s="64" t="s">
        <v>7</v>
      </c>
      <c r="B39" s="65">
        <f t="shared" si="3"/>
        <v>0.31536663868226733</v>
      </c>
      <c r="C39" s="141">
        <f>E39-'[1]EU - variety'!E39</f>
        <v>-105890.52381191577</v>
      </c>
      <c r="D39" s="86">
        <f>F39-'[1]EU - variety'!F39</f>
        <v>-76161.89278145556</v>
      </c>
      <c r="E39" s="163">
        <f>Belgium!E$15+Denmark!E$24+Italy!E$25+Poland!E$22+Spain!E$14+Switzerland!E$24+Netherlands!E$12+UK!E$16+'Czech Republic'!E$16+France!E$32</f>
        <v>229924.31686960236</v>
      </c>
      <c r="F39" s="86">
        <f>Belgium!F$15+Denmark!F$24+Italy!F$25+Poland!F$22+Spain!F$14+Switzerland!F$24+Netherlands!F$12+UK!F$16+'Czech Republic'!F$16+France!F$32</f>
        <v>174798.6531724267</v>
      </c>
      <c r="G39" s="86">
        <f>Belgium!G$15+Denmark!G$24+Italy!G$25+Poland!G$22+Spain!G$14+Switzerland!G$24+Netherlands!G$12+UK!G$16+'Czech Republic'!G$16+France!G$32</f>
        <v>216625.08289117867</v>
      </c>
      <c r="H39" s="86">
        <f>Belgium!H$15+Denmark!H$24+Italy!H$25+Poland!H$22+Spain!H$14+Switzerland!H$24+Netherlands!H$12+UK!H$16+'Czech Republic'!H$16+France!H$32</f>
        <v>177857.36084712658</v>
      </c>
      <c r="I39" s="81">
        <f>Belgium!I$15+Denmark!I$24+Italy!I$25+Poland!I$22+Spain!I$14+Switzerland!I$24+Netherlands!I$12+UK!I$16+'Czech Republic'!I$16+France!I$32</f>
        <v>188522.34262618254</v>
      </c>
      <c r="J39" s="86">
        <f>Belgium!J$15+Denmark!J$24+Italy!J$25+Poland!J$22+Spain!J$14+Switzerland!J$24+Netherlands!J$12+UK!J$16+'Czech Republic'!J$16+France!J$32</f>
        <v>243065.3263029822</v>
      </c>
      <c r="K39" s="86">
        <f>Belgium!K$15+Denmark!K$24+Italy!K$25+Poland!K$22+Spain!K$14+Switzerland!K$24+Netherlands!K$12+UK!K$16+'Czech Republic'!K$16+France!K$32</f>
        <v>207081.2897869264</v>
      </c>
      <c r="L39" s="86">
        <f>Belgium!L$15+Denmark!L$24+Italy!L$25+Poland!L$22+Spain!L$14+Switzerland!L$24+Netherlands!L$12+UK!L$16+'Czech Republic'!L$16+France!L$32</f>
        <v>187380.32747931607</v>
      </c>
      <c r="M39" s="86">
        <f>Belgium!M$15+Denmark!M$24+Italy!M$25+Poland!M$22+Spain!M$14+Switzerland!M$24+Netherlands!M$12+UK!M$16+'Czech Republic'!M$16+France!M$32</f>
        <v>106440.2493045057</v>
      </c>
      <c r="N39" s="86">
        <f>Belgium!N$15+Denmark!N$24+Italy!N$25+Poland!N$22+Spain!N$14+Switzerland!N$24+Netherlands!N$12+UK!N$16+'Czech Republic'!N$16+France!N$32</f>
        <v>208956.27582651182</v>
      </c>
      <c r="O39" s="86">
        <f>Belgium!O$15+Denmark!O$24+Italy!O$25+Poland!O$22+Spain!O$14+Switzerland!O$24+Netherlands!O$12+UK!O$16+'Czech Republic'!O$16</f>
        <v>170876</v>
      </c>
      <c r="P39" s="86">
        <f>Belgium!P$15+Denmark!P$24+Italy!P$25+Poland!P$22+Spain!P$14+Switzerland!P$24+Netherlands!P$12+UK!P$16+'Czech Republic'!P$16+France!P$32</f>
        <v>177950.99484409107</v>
      </c>
      <c r="Q39" s="88">
        <f>Belgium!Q$15+Denmark!Q$24+Italy!Q$25+Poland!Q$22+Spain!Q$14+Switzerland!Q$24+Netherlands!Q$12+UK!Q$16+'Czech Republic'!Q$16</f>
        <v>95835.78296956887</v>
      </c>
    </row>
    <row r="40" spans="1:17" s="61" customFormat="1" ht="12.75">
      <c r="A40" s="64" t="s">
        <v>93</v>
      </c>
      <c r="B40" s="65">
        <f t="shared" si="3"/>
        <v>5.8547989227593575</v>
      </c>
      <c r="C40" s="141">
        <f>E40-'[1]EU - variety'!E40</f>
        <v>-4695.436021457123</v>
      </c>
      <c r="D40" s="86">
        <f>F40-'[1]EU - variety'!F40</f>
        <v>-534</v>
      </c>
      <c r="E40" s="163">
        <f>Belgium!E$16+Italy!E$26+Poland!E$23+Netherlands!E$13+UK!E$17+France!E$33+Denmark!E$25</f>
        <v>260.4823590648556</v>
      </c>
      <c r="F40" s="86">
        <f>Belgium!F$16+Italy!F$26+Poland!F$23+Netherlands!F$13+UK!F$17+France!F$33+Denmark!F$25</f>
        <v>38</v>
      </c>
      <c r="G40" s="86">
        <f>Belgium!G$16+Italy!G$26+Poland!G$23+Netherlands!G$13+UK!G$17+France!G$33+Denmark!G$25</f>
        <v>1467.1694059020606</v>
      </c>
      <c r="H40" s="86">
        <f>Belgium!H$16+Italy!H$26+Poland!H$23+Netherlands!H$13+UK!H$17+France!H$33+Denmark!H$25</f>
        <v>237.76443915123636</v>
      </c>
      <c r="I40" s="81">
        <f>Belgium!I$16+Italy!I$26+Poland!I$23+Netherlands!I$13+UK!I$17+France!I$33+Denmark!I$25</f>
        <v>199.2790609218642</v>
      </c>
      <c r="J40" s="86">
        <f>Belgium!J$16+Italy!J$26+Poland!J$23+Netherlands!J$13+UK!J$17+France!J$33+Denmark!J$25</f>
        <v>878.0559315953858</v>
      </c>
      <c r="K40" s="86">
        <f>Belgium!K$16+Italy!K$26+Poland!K$23+Netherlands!K$13+UK!K$17+France!K$33+Denmark!K$25</f>
        <v>1341</v>
      </c>
      <c r="L40" s="86">
        <f>Belgium!L$16+Italy!L$26+Poland!L$23+Netherlands!L$13+UK!L$17+France!L$33+Denmark!L$25</f>
        <v>949</v>
      </c>
      <c r="M40" s="86">
        <f>Belgium!M$16+Italy!M$26+Poland!M$23+Netherlands!M$13+UK!M$17+France!M$33</f>
        <v>37.68894328710233</v>
      </c>
      <c r="N40" s="86">
        <f>Belgium!N$16+Italy!N$26+Poland!N$23+Netherlands!N$13+UK!N$17+France!N$33</f>
        <v>5083.443459908493</v>
      </c>
      <c r="O40" s="86">
        <f>Belgium!O$16+Italy!O$26+Poland!O$23+Netherlands!O$13+UK!O$17</f>
        <v>172</v>
      </c>
      <c r="P40" s="86">
        <f>Belgium!P$16+Italy!P$26+Poland!P$23+Netherlands!P$13+UK!P$17+France!P$33</f>
        <v>4922</v>
      </c>
      <c r="Q40" s="88">
        <f>Belgium!Q$16+Italy!Q$26+Poland!Q$23+Netherlands!Q$13+UK!Q$17</f>
        <v>340</v>
      </c>
    </row>
    <row r="41" spans="1:17" s="61" customFormat="1" ht="12.75">
      <c r="A41" s="64" t="s">
        <v>30</v>
      </c>
      <c r="B41" s="65"/>
      <c r="C41" s="141">
        <f>E41-'[1]EU - variety'!E41</f>
        <v>-4564.33505586253</v>
      </c>
      <c r="D41" s="86">
        <f>F41-'[1]EU - variety'!F41</f>
        <v>0</v>
      </c>
      <c r="E41" s="163">
        <f>Italy!E$27</f>
        <v>9357.275353590529</v>
      </c>
      <c r="F41" s="86">
        <f>Italy!F$27</f>
        <v>0</v>
      </c>
      <c r="G41" s="86">
        <f>Italy!G$27</f>
        <v>3798.4529218193</v>
      </c>
      <c r="H41" s="86">
        <f>Italy!H$27</f>
        <v>5314.64780516314</v>
      </c>
      <c r="I41" s="81">
        <f>Italy!I$27</f>
        <v>2996.125367762611</v>
      </c>
      <c r="J41" s="86">
        <f>Italy!J$27</f>
        <v>8277.037727770903</v>
      </c>
      <c r="K41" s="86">
        <f>Italy!K$27</f>
        <v>1006</v>
      </c>
      <c r="L41" s="86">
        <f>Italy!L$27</f>
        <v>11342</v>
      </c>
      <c r="M41" s="86">
        <f>Italy!M$27</f>
        <v>2078.8098475820602</v>
      </c>
      <c r="N41" s="86">
        <f>Italy!N$27</f>
        <v>8397.915270700918</v>
      </c>
      <c r="O41" s="86">
        <f>Italy!O$27</f>
        <v>1777</v>
      </c>
      <c r="P41" s="86">
        <f>Italy!P$27</f>
        <v>9870</v>
      </c>
      <c r="Q41" s="88">
        <f>Italy!Q$27</f>
        <v>666</v>
      </c>
    </row>
    <row r="42" spans="1:17" s="61" customFormat="1" ht="12.75">
      <c r="A42" s="64" t="s">
        <v>147</v>
      </c>
      <c r="B42" s="65"/>
      <c r="C42" s="141">
        <f>E42-'[1]EU - variety'!E42</f>
        <v>0</v>
      </c>
      <c r="D42" s="86">
        <f>F42-'[1]EU - variety'!F42</f>
        <v>-46875</v>
      </c>
      <c r="E42" s="163">
        <f>Portugal!E$13</f>
        <v>0</v>
      </c>
      <c r="F42" s="86">
        <f>Portugal!F$13</f>
        <v>0</v>
      </c>
      <c r="G42" s="86">
        <f>Portugal!G$13</f>
        <v>24870</v>
      </c>
      <c r="H42" s="86">
        <f>Portugal!H$13</f>
        <v>0</v>
      </c>
      <c r="I42" s="81">
        <f>Portugal!I$13</f>
        <v>0</v>
      </c>
      <c r="J42" s="86">
        <f>Portugal!J$13</f>
        <v>0</v>
      </c>
      <c r="K42" s="86">
        <f>Portugal!K$13</f>
        <v>0</v>
      </c>
      <c r="L42" s="86">
        <f>Portugal!L$13</f>
        <v>0</v>
      </c>
      <c r="M42" s="86">
        <f>Portugal!M$13</f>
        <v>0</v>
      </c>
      <c r="N42" s="86">
        <f>Portugal!N$13</f>
        <v>0</v>
      </c>
      <c r="O42" s="86">
        <f>Portugal!O$13</f>
        <v>7940</v>
      </c>
      <c r="P42" s="86"/>
      <c r="Q42" s="88"/>
    </row>
    <row r="43" spans="1:17" s="61" customFormat="1" ht="13.5" thickBot="1">
      <c r="A43" s="67" t="s">
        <v>6</v>
      </c>
      <c r="B43" s="68">
        <f t="shared" si="3"/>
        <v>0.32042924484562724</v>
      </c>
      <c r="C43" s="142">
        <f>E43-'[1]EU - variety'!E43</f>
        <v>-12957.047207386759</v>
      </c>
      <c r="D43" s="87">
        <f>F43-'[1]EU - variety'!F43</f>
        <v>-6849.479540924338</v>
      </c>
      <c r="E43" s="69">
        <f>Belgium!E$18+Denmark!E$26+Germany!E$25+Italy!E$28+Poland!E$24+Spain!E$15+Spain!E$16+Switzerland!E$23+Switzerland!E$25+Switzerland!E$26+Switzerland!E$27+Netherlands!E$14+UK!E$18+'Czech Republic'!E$17+'Czech Republic'!E$18+'Czech Republic'!E$19+'Czech Republic'!E$20+France!E$31+France!E$35+France!E$36+France!E$37+France!E$30</f>
        <v>8466.474500837618</v>
      </c>
      <c r="F43" s="87">
        <f>Belgium!F$18+Denmark!F$26+Germany!F$25+Italy!F$28+Poland!F$24+Spain!F$15+Spain!F$16+Switzerland!F$23+Switzerland!F$25+Switzerland!F$26+Switzerland!F$27+Netherlands!F$14+UK!F$18+'Czech Republic'!F$17+'Czech Republic'!F$18+'Czech Republic'!F$19+'Czech Republic'!F$20+France!F$31+France!F$35+France!F$36+France!F$37+France!F$30</f>
        <v>6411.910773626831</v>
      </c>
      <c r="G43" s="87">
        <f>Belgium!G$18+Denmark!G$26+Germany!G$25+Italy!G$28+Poland!G$24+Spain!G$15+Spain!G$16+Switzerland!G$23+Switzerland!G$25+Switzerland!G$27+Switzerland!G$26+Netherlands!G$14+UK!G$18+'Czech Republic'!G$17+'Czech Republic'!G$18+'Czech Republic'!G$19+'Czech Republic'!G$20+France!G$31+France!G$35+France!G$36+France!G$37+France!G$30</f>
        <v>10299.716725132457</v>
      </c>
      <c r="H43" s="87">
        <f>Belgium!H$18+Denmark!H$26+Germany!H$25+Italy!H$28+Poland!H$24+Spain!H$15+Spain!H$16+Switzerland!H$23+Switzerland!H$25+Switzerland!H$27+Switzerland!H$26+Netherlands!H$14+UK!H$18+'Czech Republic'!H$17+'Czech Republic'!H$18+'Czech Republic'!H$19+'Czech Republic'!H$20+France!H$31+France!H$35+France!H$36+France!H$37+France!H$30</f>
        <v>3660</v>
      </c>
      <c r="I43" s="81">
        <f>Belgium!I$18+Denmark!I$26+Germany!I$25+Italy!I$28+Poland!I$24+Spain!I$15+Spain!I$16+Switzerland!I$23+Switzerland!I$25+Switzerland!I$27+Switzerland!I$26+Netherlands!I$14+UK!I$18+'Czech Republic'!I$17+'Czech Republic'!I$18+'Czech Republic'!I$19+'Czech Republic'!I$20+France!I$31+France!I$35+France!I$36+France!I$37+France!I$30</f>
        <v>4372.69493938969</v>
      </c>
      <c r="J43" s="87">
        <f>Belgium!J$18+Denmark!J$26+Germany!J$25+Italy!J$28+Poland!J$24+Spain!J$15+Spain!J$16+Switzerland!J$23+Switzerland!J$25+Switzerland!J$27+Netherlands!J$14+UK!J$18+'Czech Republic'!J$17+'Czech Republic'!J$18+'Czech Republic'!J$19+'Czech Republic'!J$20+France!J$31+France!J$35+France!J$36+France!J$37+France!J$30</f>
        <v>3625.106884331787</v>
      </c>
      <c r="K43" s="87">
        <f>Belgium!K$18+Denmark!K$26+Germany!K$25+Italy!K$28+Poland!K$24+Spain!K$15+Spain!K$16+Switzerland!K$23+Switzerland!K$25+Switzerland!K$27+Netherlands!K$14+UK!K$18+'Czech Republic'!K$17+'Czech Republic'!K$18+'Czech Republic'!K$19+'Czech Republic'!K$20+France!K$31+France!K$35+France!K$36+France!K$37+France!K$30</f>
        <v>6175.661141503802</v>
      </c>
      <c r="L43" s="87">
        <f>Belgium!L$18+Denmark!L$26+Germany!L$25+Italy!L$28+Poland!L$24+Spain!L$15+Spain!L$16+Switzerland!L$23+Switzerland!L$25+Switzerland!L$27+Netherlands!L$14+UK!L$18+'Czech Republic'!L$17+'Czech Republic'!L$18+'Czech Republic'!L$19+'Czech Republic'!L$20+France!L$31+France!L$35+France!L$36+France!L$37+France!L$30</f>
        <v>8786.031010087787</v>
      </c>
      <c r="M43" s="87">
        <f>Belgium!M$18+Denmark!M$26+Germany!M$25+Italy!M$28+Poland!M$24+Spain!M$15+Spain!M$16+Switzerland!M$23+Switzerland!M$25+Switzerland!M$27+Netherlands!M$14+UK!M$18+'Czech Republic'!M$17+'Czech Republic'!M$20+France!M$30+France!M$31+France!M$34+France!M$35+France!M$36+France!M$37</f>
        <v>552.128306716377</v>
      </c>
      <c r="N43" s="87">
        <f>Belgium!N$18+Denmark!N$26+Germany!N$25+Italy!N$28+Poland!N$24+Spain!N$15+Spain!N$16+Switzerland!N$23+Switzerland!N$25+Switzerland!N$27+Netherlands!N$14+UK!N$18+'Czech Republic'!N$17+'Czech Republic'!N$20+France!N$30+France!N$31+France!N$34+France!N$35+France!N$36+France!N$37</f>
        <v>6676.144291958861</v>
      </c>
      <c r="O43" s="87">
        <f>Belgium!O$18+Denmark!O$26+Germany!O$25+Italy!O$28+Poland!O$24+Spain!O$15+Spain!O$16+Switzerland!O$23+Switzerland!O$25+Switzerland!O$27+Netherlands!O$14+UK!O$18+'Czech Republic'!O$17+'Czech Republic'!O$20</f>
        <v>1305</v>
      </c>
      <c r="P43" s="87">
        <f>Belgium!P$18+Denmark!P$26+Germany!P$25+Italy!P$28+Poland!P$24+Spain!P$15+Spain!P$16+Switzerland!P$23+Switzerland!P$25+Switzerland!P$27+Netherlands!P$14+UK!P$18+'Czech Republic'!P$17+'Czech Republic'!P$20+France!P$30+France!P$31+France!P$34+France!P$35+France!P$36+France!P$37</f>
        <v>3976.4966621281746</v>
      </c>
      <c r="Q43" s="89">
        <f>Belgium!Q$18+Denmark!Q$26+Germany!Q$25+Italy!Q$28+Poland!Q$24+Spain!Q$15+Spain!Q$16+Switzerland!Q$23+Switzerland!Q$25+Switzerland!Q$27+Netherlands!Q$14+UK!Q$18+'Czech Republic'!Q$17+'Czech Republic'!Q$20</f>
        <v>927.9800349616656</v>
      </c>
    </row>
    <row r="44" spans="1:17" s="61" customFormat="1" ht="13.5" thickBot="1">
      <c r="A44" s="71" t="s">
        <v>92</v>
      </c>
      <c r="B44" s="106">
        <f t="shared" si="3"/>
        <v>0.49707190165034926</v>
      </c>
      <c r="C44" s="167">
        <f>E44-'[1]EU - variety'!E44</f>
        <v>-157091.02656139835</v>
      </c>
      <c r="D44" s="116">
        <f>F44-'[1]EU - variety'!F44</f>
        <v>-132497.59123658246</v>
      </c>
      <c r="E44" s="129">
        <f>SUM(E36:E43)</f>
        <v>273472.86677080434</v>
      </c>
      <c r="F44" s="116">
        <f aca="true" t="shared" si="4" ref="F44:K44">SUM(F36:F43)</f>
        <v>182671.8319068924</v>
      </c>
      <c r="G44" s="116">
        <f t="shared" si="4"/>
        <v>286155.2417742248</v>
      </c>
      <c r="H44" s="116">
        <f t="shared" si="4"/>
        <v>225353.56838242657</v>
      </c>
      <c r="I44" s="99">
        <f t="shared" si="4"/>
        <v>219156.87219241494</v>
      </c>
      <c r="J44" s="99">
        <f t="shared" si="4"/>
        <v>283231.79111721745</v>
      </c>
      <c r="K44" s="99">
        <f t="shared" si="4"/>
        <v>238256.48769134475</v>
      </c>
      <c r="L44" s="99">
        <f aca="true" t="shared" si="5" ref="L44:Q44">SUM(L36:L43)</f>
        <v>241535.0076408539</v>
      </c>
      <c r="M44" s="99">
        <f t="shared" si="5"/>
        <v>113756.1371865706</v>
      </c>
      <c r="N44" s="99">
        <f t="shared" si="5"/>
        <v>265032.1781970505</v>
      </c>
      <c r="O44" s="99">
        <f t="shared" si="5"/>
        <v>198962</v>
      </c>
      <c r="P44" s="99">
        <f t="shared" si="5"/>
        <v>208441.8489593444</v>
      </c>
      <c r="Q44" s="113">
        <f t="shared" si="5"/>
        <v>103961.77148907635</v>
      </c>
    </row>
    <row r="45" spans="1:17" ht="12.75">
      <c r="A45" s="3"/>
      <c r="J45"/>
      <c r="K45"/>
      <c r="L45"/>
      <c r="M45"/>
      <c r="N45"/>
      <c r="O45"/>
      <c r="P45"/>
      <c r="Q45"/>
    </row>
    <row r="46" spans="1:17" s="61" customFormat="1" ht="12.75">
      <c r="A46" s="63"/>
      <c r="D46" s="105"/>
      <c r="E46" s="105"/>
      <c r="F46" s="105"/>
      <c r="G46" s="105"/>
      <c r="H46" s="105"/>
      <c r="J46" s="105"/>
      <c r="K46" s="105"/>
      <c r="L46" s="105"/>
      <c r="M46" s="105"/>
      <c r="N46" s="105"/>
      <c r="O46" s="105"/>
      <c r="P46" s="105"/>
      <c r="Q46" s="105"/>
    </row>
    <row r="47" spans="4:17" s="61" customFormat="1" ht="12.75">
      <c r="D47" s="105"/>
      <c r="E47" s="105"/>
      <c r="F47" s="105"/>
      <c r="G47" s="105"/>
      <c r="H47" s="105"/>
      <c r="J47" s="105"/>
      <c r="K47" s="105"/>
      <c r="L47" s="105"/>
      <c r="M47" s="105"/>
      <c r="N47" s="105"/>
      <c r="O47" s="105"/>
      <c r="P47" s="105"/>
      <c r="Q47" s="105"/>
    </row>
  </sheetData>
  <sheetProtection/>
  <printOptions/>
  <pageMargins left="0.75" right="0.75" top="1" bottom="1" header="0.5" footer="0.5"/>
  <pageSetup fitToHeight="3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zoomScale="110" zoomScaleNormal="110" zoomScalePageLayoutView="0" workbookViewId="0" topLeftCell="A1">
      <selection activeCell="G34" sqref="G34"/>
    </sheetView>
  </sheetViews>
  <sheetFormatPr defaultColWidth="8.8515625" defaultRowHeight="12.75"/>
  <cols>
    <col min="1" max="1" width="29.140625" style="0" customWidth="1"/>
    <col min="2" max="2" width="10.8515625" style="0" customWidth="1"/>
    <col min="3" max="4" width="11.7109375" style="0" bestFit="1" customWidth="1"/>
    <col min="5" max="5" width="11.7109375" style="0" customWidth="1"/>
    <col min="6" max="7" width="11.7109375" style="9" customWidth="1"/>
    <col min="8" max="8" width="12.140625" style="9" customWidth="1"/>
    <col min="9" max="9" width="10.8515625" style="0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32" t="s">
        <v>178</v>
      </c>
      <c r="C1" s="162" t="s">
        <v>177</v>
      </c>
      <c r="D1" s="93" t="s">
        <v>171</v>
      </c>
      <c r="E1" s="165">
        <v>44287</v>
      </c>
      <c r="F1" s="132">
        <v>43922</v>
      </c>
      <c r="G1" s="132">
        <v>43556</v>
      </c>
      <c r="H1" s="132">
        <v>43191</v>
      </c>
      <c r="I1" s="33">
        <v>42826</v>
      </c>
      <c r="J1" s="33">
        <v>42461</v>
      </c>
      <c r="K1" s="33">
        <v>42095</v>
      </c>
      <c r="L1" s="33">
        <v>41730</v>
      </c>
      <c r="M1" s="33">
        <v>41365</v>
      </c>
      <c r="N1" s="33">
        <v>41000</v>
      </c>
      <c r="O1" s="33">
        <v>40634</v>
      </c>
      <c r="P1" s="33">
        <v>40269</v>
      </c>
      <c r="Q1" s="33">
        <v>39904</v>
      </c>
      <c r="R1" s="33">
        <v>39539</v>
      </c>
      <c r="S1" s="34">
        <v>39173</v>
      </c>
    </row>
    <row r="2" spans="1:19" ht="12.75">
      <c r="A2" s="27" t="s">
        <v>94</v>
      </c>
      <c r="B2" s="35">
        <f>(E2-F2)/F2</f>
        <v>-0.45789473684210524</v>
      </c>
      <c r="C2" s="144">
        <f>E2-'[1]Austria'!E2</f>
        <v>-295.1</v>
      </c>
      <c r="D2" s="13">
        <f>F2-'[1]Austria'!F2</f>
        <v>-115.88</v>
      </c>
      <c r="E2" s="122">
        <v>206</v>
      </c>
      <c r="F2" s="13">
        <v>380</v>
      </c>
      <c r="G2" s="13">
        <v>496.68</v>
      </c>
      <c r="H2" s="13">
        <v>23</v>
      </c>
      <c r="I2" s="13"/>
      <c r="J2" s="13">
        <v>639</v>
      </c>
      <c r="K2" s="13">
        <v>934.8</v>
      </c>
      <c r="L2" s="13">
        <v>1180</v>
      </c>
      <c r="M2" s="13">
        <v>867.18</v>
      </c>
      <c r="N2" s="13">
        <v>1530</v>
      </c>
      <c r="O2" s="13">
        <v>1450</v>
      </c>
      <c r="P2" s="13">
        <v>1666</v>
      </c>
      <c r="Q2" s="13">
        <v>2979</v>
      </c>
      <c r="R2" s="13">
        <v>2094</v>
      </c>
      <c r="S2" s="37">
        <v>1828</v>
      </c>
    </row>
    <row r="3" spans="1:19" ht="12.75">
      <c r="A3" s="27" t="s">
        <v>4</v>
      </c>
      <c r="B3" s="35"/>
      <c r="C3" s="140">
        <f>E3-'[1]Austria'!E3</f>
        <v>0</v>
      </c>
      <c r="D3" s="13">
        <f>F3-'[1]Austria'!F3</f>
        <v>0</v>
      </c>
      <c r="E3" s="122">
        <v>0</v>
      </c>
      <c r="F3" s="13">
        <v>0</v>
      </c>
      <c r="G3" s="13">
        <v>0</v>
      </c>
      <c r="H3" s="13">
        <v>0</v>
      </c>
      <c r="I3" s="13"/>
      <c r="J3" s="13">
        <v>0</v>
      </c>
      <c r="K3" s="13">
        <v>0</v>
      </c>
      <c r="L3" s="13">
        <v>0</v>
      </c>
      <c r="M3" s="13">
        <v>0</v>
      </c>
      <c r="N3" s="13">
        <v>3</v>
      </c>
      <c r="O3" s="13">
        <v>0</v>
      </c>
      <c r="P3" s="13">
        <v>0</v>
      </c>
      <c r="Q3" s="13">
        <v>4</v>
      </c>
      <c r="R3" s="13">
        <v>0</v>
      </c>
      <c r="S3" s="37">
        <v>0</v>
      </c>
    </row>
    <row r="4" spans="1:19" ht="12.75">
      <c r="A4" s="27" t="s">
        <v>11</v>
      </c>
      <c r="B4" s="35">
        <f aca="true" t="shared" si="0" ref="B4:B21">(E4-F4)/F4</f>
        <v>-0.2578200868898543</v>
      </c>
      <c r="C4" s="140">
        <f>E4-'[1]Austria'!E4</f>
        <v>-2227.7000000000003</v>
      </c>
      <c r="D4" s="13">
        <f>F4-'[1]Austria'!F4</f>
        <v>-2216.4399999999996</v>
      </c>
      <c r="E4" s="122">
        <v>2904.15</v>
      </c>
      <c r="F4" s="13">
        <v>3913</v>
      </c>
      <c r="G4" s="13">
        <v>8500.880000000001</v>
      </c>
      <c r="H4" s="13">
        <v>1433</v>
      </c>
      <c r="I4" s="13">
        <v>418.02</v>
      </c>
      <c r="J4" s="13">
        <v>5184.04</v>
      </c>
      <c r="K4" s="13">
        <v>3885.78</v>
      </c>
      <c r="L4" s="13">
        <v>6324.02</v>
      </c>
      <c r="M4" s="13">
        <v>2360</v>
      </c>
      <c r="N4" s="13">
        <v>4308</v>
      </c>
      <c r="O4" s="13">
        <v>1818</v>
      </c>
      <c r="P4" s="13">
        <v>6496</v>
      </c>
      <c r="Q4" s="13">
        <v>3498</v>
      </c>
      <c r="R4" s="13">
        <v>1506</v>
      </c>
      <c r="S4" s="37">
        <v>1023</v>
      </c>
    </row>
    <row r="5" spans="1:19" ht="12.75">
      <c r="A5" s="27" t="s">
        <v>2</v>
      </c>
      <c r="B5" s="35">
        <f t="shared" si="0"/>
        <v>1.9659259259259259</v>
      </c>
      <c r="C5" s="140">
        <f>E5-'[1]Austria'!E5</f>
        <v>-624.0000000000001</v>
      </c>
      <c r="D5" s="13">
        <f>F5-'[1]Austria'!F5</f>
        <v>-764.64</v>
      </c>
      <c r="E5" s="122">
        <v>400.4</v>
      </c>
      <c r="F5" s="13">
        <v>135</v>
      </c>
      <c r="G5" s="13">
        <v>2462.4</v>
      </c>
      <c r="H5" s="13">
        <v>0</v>
      </c>
      <c r="I5" s="13"/>
      <c r="J5" s="13">
        <v>676.26</v>
      </c>
      <c r="K5" s="13">
        <v>859.86</v>
      </c>
      <c r="L5" s="13">
        <v>883.3</v>
      </c>
      <c r="M5" s="13">
        <v>236.64</v>
      </c>
      <c r="N5" s="13">
        <v>1443</v>
      </c>
      <c r="O5" s="13">
        <v>1252</v>
      </c>
      <c r="P5" s="13">
        <v>1234</v>
      </c>
      <c r="Q5" s="13">
        <v>827</v>
      </c>
      <c r="R5" s="13">
        <v>1400</v>
      </c>
      <c r="S5" s="37">
        <v>2159</v>
      </c>
    </row>
    <row r="6" spans="1:19" ht="12.75">
      <c r="A6" s="27" t="s">
        <v>153</v>
      </c>
      <c r="B6" s="35">
        <f t="shared" si="0"/>
        <v>1.1799649020181338</v>
      </c>
      <c r="C6" s="140">
        <f>E6-'[1]Austria'!E6</f>
        <v>-2104.800000000001</v>
      </c>
      <c r="D6" s="13">
        <f>F6-'[1]Austria'!F6</f>
        <v>-2506.08</v>
      </c>
      <c r="E6" s="122">
        <v>7453.299999999999</v>
      </c>
      <c r="F6" s="13">
        <v>3419</v>
      </c>
      <c r="G6" s="13">
        <v>6673.86</v>
      </c>
      <c r="H6" s="13">
        <v>2416</v>
      </c>
      <c r="I6" s="13">
        <v>1389.24</v>
      </c>
      <c r="J6" s="13">
        <v>4456.38</v>
      </c>
      <c r="K6" s="13">
        <v>3906.6</v>
      </c>
      <c r="L6" s="13">
        <v>2486.76</v>
      </c>
      <c r="M6" s="13">
        <v>1482.06</v>
      </c>
      <c r="N6" s="13">
        <v>1441</v>
      </c>
      <c r="O6" s="13"/>
      <c r="P6" s="13"/>
      <c r="Q6" s="13"/>
      <c r="R6" s="13"/>
      <c r="S6" s="37"/>
    </row>
    <row r="7" spans="1:19" ht="12.75">
      <c r="A7" s="29" t="s">
        <v>12</v>
      </c>
      <c r="B7" s="35">
        <f t="shared" si="0"/>
        <v>-0.6886396526772793</v>
      </c>
      <c r="C7" s="140">
        <f>E7-'[1]Austria'!E7</f>
        <v>-862.7</v>
      </c>
      <c r="D7" s="13">
        <f>F7-'[1]Austria'!F7</f>
        <v>-332.6400000000001</v>
      </c>
      <c r="E7" s="122">
        <v>430.3</v>
      </c>
      <c r="F7" s="13">
        <v>1382</v>
      </c>
      <c r="G7" s="13">
        <v>2395.36</v>
      </c>
      <c r="H7" s="13">
        <v>666</v>
      </c>
      <c r="I7" s="94">
        <v>44.88</v>
      </c>
      <c r="J7" s="94">
        <v>1757.46</v>
      </c>
      <c r="K7" s="94">
        <v>1504.28</v>
      </c>
      <c r="L7" s="94">
        <v>1584.06</v>
      </c>
      <c r="M7" s="94">
        <v>778.02</v>
      </c>
      <c r="N7" s="94">
        <v>1987</v>
      </c>
      <c r="O7" s="94">
        <v>205</v>
      </c>
      <c r="P7" s="94">
        <v>1461</v>
      </c>
      <c r="Q7" s="94">
        <v>931</v>
      </c>
      <c r="R7" s="13">
        <v>1210</v>
      </c>
      <c r="S7" s="37">
        <v>337</v>
      </c>
    </row>
    <row r="8" spans="1:19" ht="12.75">
      <c r="A8" s="27" t="s">
        <v>9</v>
      </c>
      <c r="B8" s="35">
        <f t="shared" si="0"/>
        <v>0.613609044075558</v>
      </c>
      <c r="C8" s="140">
        <f>E8-'[1]Austria'!E8</f>
        <v>-2447.3999999999996</v>
      </c>
      <c r="D8" s="13">
        <f>F8-'[1]Austria'!F8</f>
        <v>-5100.32</v>
      </c>
      <c r="E8" s="122">
        <v>11275.9</v>
      </c>
      <c r="F8" s="13">
        <v>6988</v>
      </c>
      <c r="G8" s="13">
        <v>12591.1</v>
      </c>
      <c r="H8" s="81">
        <f>4098+480</f>
        <v>4578</v>
      </c>
      <c r="I8" s="13">
        <v>157.82</v>
      </c>
      <c r="J8" s="13">
        <v>10852.96</v>
      </c>
      <c r="K8" s="13">
        <v>8816.02</v>
      </c>
      <c r="L8" s="13">
        <v>11994.02</v>
      </c>
      <c r="M8" s="13">
        <v>4280.66</v>
      </c>
      <c r="N8" s="13">
        <v>8823</v>
      </c>
      <c r="O8" s="13">
        <v>12415</v>
      </c>
      <c r="P8" s="13">
        <v>7839</v>
      </c>
      <c r="Q8" s="13">
        <v>10653</v>
      </c>
      <c r="R8" s="13">
        <v>3148</v>
      </c>
      <c r="S8" s="37">
        <v>3148</v>
      </c>
    </row>
    <row r="9" spans="1:19" ht="12.75">
      <c r="A9" s="27" t="s">
        <v>14</v>
      </c>
      <c r="B9" s="35"/>
      <c r="C9" s="140">
        <f>E9-'[1]Austria'!E9</f>
        <v>0</v>
      </c>
      <c r="D9" s="13">
        <f>F9-'[1]Austria'!F9</f>
        <v>0</v>
      </c>
      <c r="E9" s="122"/>
      <c r="F9" s="13"/>
      <c r="G9" s="13"/>
      <c r="H9" s="13"/>
      <c r="I9" s="13"/>
      <c r="J9" s="13"/>
      <c r="K9" s="13"/>
      <c r="L9" s="13"/>
      <c r="M9" s="13">
        <v>0</v>
      </c>
      <c r="N9" s="13">
        <v>0</v>
      </c>
      <c r="O9" s="13">
        <v>0</v>
      </c>
      <c r="P9" s="13">
        <v>169</v>
      </c>
      <c r="Q9" s="13">
        <v>10</v>
      </c>
      <c r="R9" s="13">
        <v>0</v>
      </c>
      <c r="S9" s="37">
        <v>57</v>
      </c>
    </row>
    <row r="10" spans="1:19" ht="12.75">
      <c r="A10" s="27" t="s">
        <v>3</v>
      </c>
      <c r="B10" s="35">
        <f t="shared" si="0"/>
        <v>0.58887823902697</v>
      </c>
      <c r="C10" s="140">
        <f>E10-'[1]Austria'!E10</f>
        <v>-2365.2499999999964</v>
      </c>
      <c r="D10" s="13">
        <f>F10-'[1]Austria'!F10</f>
        <v>-4612.720000000001</v>
      </c>
      <c r="E10" s="122">
        <v>24036.550000000003</v>
      </c>
      <c r="F10" s="13">
        <v>15128</v>
      </c>
      <c r="G10" s="13">
        <v>17841.5</v>
      </c>
      <c r="H10" s="13">
        <f>13557+354</f>
        <v>13911</v>
      </c>
      <c r="I10" s="13">
        <v>11151.02</v>
      </c>
      <c r="J10" s="13">
        <v>27979.12</v>
      </c>
      <c r="K10" s="13">
        <v>36393.88</v>
      </c>
      <c r="L10" s="13">
        <v>22835.42</v>
      </c>
      <c r="M10" s="13">
        <v>28179.2</v>
      </c>
      <c r="N10" s="13">
        <v>37219</v>
      </c>
      <c r="O10" s="13">
        <v>30242</v>
      </c>
      <c r="P10" s="13">
        <v>31009</v>
      </c>
      <c r="Q10" s="13">
        <v>34408</v>
      </c>
      <c r="R10" s="13">
        <v>29897</v>
      </c>
      <c r="S10" s="37">
        <v>25215</v>
      </c>
    </row>
    <row r="11" spans="1:19" ht="12.75">
      <c r="A11" s="27" t="s">
        <v>17</v>
      </c>
      <c r="B11" s="35">
        <f t="shared" si="0"/>
        <v>3.634782608695652</v>
      </c>
      <c r="C11" s="140">
        <f>E11-'[1]Austria'!E11</f>
        <v>-74.1</v>
      </c>
      <c r="D11" s="13">
        <f>F11-'[1]Austria'!F11</f>
        <v>-59.08</v>
      </c>
      <c r="E11" s="122">
        <v>106.6</v>
      </c>
      <c r="F11" s="13">
        <v>23</v>
      </c>
      <c r="G11" s="13">
        <v>15.24</v>
      </c>
      <c r="H11" s="13">
        <v>9</v>
      </c>
      <c r="I11" s="94"/>
      <c r="J11" s="94">
        <v>16.32</v>
      </c>
      <c r="K11" s="94">
        <v>264.18</v>
      </c>
      <c r="L11" s="94">
        <v>16.32</v>
      </c>
      <c r="M11" s="94">
        <v>8.16</v>
      </c>
      <c r="N11" s="94">
        <v>16</v>
      </c>
      <c r="O11" s="94">
        <v>35</v>
      </c>
      <c r="P11" s="94">
        <v>10</v>
      </c>
      <c r="Q11" s="94">
        <v>0</v>
      </c>
      <c r="R11" s="13">
        <v>0</v>
      </c>
      <c r="S11" s="37">
        <v>0</v>
      </c>
    </row>
    <row r="12" spans="1:19" ht="12.75">
      <c r="A12" s="28" t="s">
        <v>10</v>
      </c>
      <c r="B12" s="35">
        <f t="shared" si="0"/>
        <v>-0.002098901098901139</v>
      </c>
      <c r="C12" s="140">
        <f>E12-'[1]Austria'!E12</f>
        <v>-396.59999999999945</v>
      </c>
      <c r="D12" s="13">
        <f>F12-'[1]Austria'!F12</f>
        <v>-740.6000000000004</v>
      </c>
      <c r="E12" s="122">
        <v>4540.45</v>
      </c>
      <c r="F12" s="13">
        <v>4550</v>
      </c>
      <c r="G12" s="13">
        <v>8920.58</v>
      </c>
      <c r="H12" s="13">
        <f>1929+151</f>
        <v>2080</v>
      </c>
      <c r="I12" s="94">
        <v>155.66</v>
      </c>
      <c r="J12" s="94">
        <v>13207.92</v>
      </c>
      <c r="K12" s="94">
        <v>8894.98</v>
      </c>
      <c r="L12" s="94">
        <v>16406.8</v>
      </c>
      <c r="M12" s="94">
        <v>10383.26</v>
      </c>
      <c r="N12" s="94">
        <v>15814</v>
      </c>
      <c r="O12" s="94">
        <v>16080</v>
      </c>
      <c r="P12" s="94">
        <v>16891</v>
      </c>
      <c r="Q12" s="94">
        <v>15028</v>
      </c>
      <c r="R12" s="13">
        <v>12705</v>
      </c>
      <c r="S12" s="37">
        <v>15116</v>
      </c>
    </row>
    <row r="13" spans="1:19" ht="12.75">
      <c r="A13" s="28" t="s">
        <v>27</v>
      </c>
      <c r="B13" s="35">
        <f t="shared" si="0"/>
        <v>-0.48356799999999994</v>
      </c>
      <c r="C13" s="140">
        <f>E13-'[1]Austria'!E13</f>
        <v>-421.20000000000005</v>
      </c>
      <c r="D13" s="13">
        <f>F13-'[1]Austria'!F13</f>
        <v>-864.04</v>
      </c>
      <c r="E13" s="122">
        <v>1613.8500000000001</v>
      </c>
      <c r="F13" s="13">
        <v>3125</v>
      </c>
      <c r="G13" s="13">
        <v>6280.88</v>
      </c>
      <c r="H13" s="13">
        <f>1097+147</f>
        <v>1244</v>
      </c>
      <c r="I13" s="94">
        <v>269.98</v>
      </c>
      <c r="J13" s="94">
        <v>5689.24</v>
      </c>
      <c r="K13" s="94">
        <v>6023.06</v>
      </c>
      <c r="L13" s="94">
        <v>5921.68</v>
      </c>
      <c r="M13" s="94">
        <v>4500.24</v>
      </c>
      <c r="N13" s="94">
        <v>6774</v>
      </c>
      <c r="O13" s="94">
        <v>6828</v>
      </c>
      <c r="P13" s="94">
        <v>7705</v>
      </c>
      <c r="Q13" s="94">
        <v>5666</v>
      </c>
      <c r="R13" s="13">
        <v>5694</v>
      </c>
      <c r="S13" s="37">
        <v>6544</v>
      </c>
    </row>
    <row r="14" spans="1:19" ht="12.75">
      <c r="A14" s="29" t="s">
        <v>26</v>
      </c>
      <c r="B14" s="35">
        <f t="shared" si="0"/>
        <v>-1</v>
      </c>
      <c r="C14" s="140">
        <f>E14-'[1]Austria'!E14</f>
        <v>0</v>
      </c>
      <c r="D14" s="13">
        <f>F14-'[1]Austria'!F14</f>
        <v>8</v>
      </c>
      <c r="E14" s="122">
        <v>0</v>
      </c>
      <c r="F14" s="13">
        <v>8</v>
      </c>
      <c r="G14" s="13"/>
      <c r="H14" s="13">
        <v>0</v>
      </c>
      <c r="I14" s="94"/>
      <c r="J14" s="94">
        <v>2238.9</v>
      </c>
      <c r="K14" s="94">
        <v>1465.74</v>
      </c>
      <c r="L14" s="94">
        <v>2714.22</v>
      </c>
      <c r="M14" s="94">
        <v>2023.68</v>
      </c>
      <c r="N14" s="94">
        <v>3527</v>
      </c>
      <c r="O14" s="94">
        <v>3849</v>
      </c>
      <c r="P14" s="94">
        <v>4252</v>
      </c>
      <c r="Q14" s="94">
        <v>3390</v>
      </c>
      <c r="R14" s="13">
        <v>4186</v>
      </c>
      <c r="S14" s="37">
        <v>3654</v>
      </c>
    </row>
    <row r="15" spans="1:19" ht="12.75">
      <c r="A15" s="29" t="s">
        <v>95</v>
      </c>
      <c r="B15" s="35"/>
      <c r="C15" s="140">
        <f>E15-'[1]Austria'!E15</f>
        <v>-71.5</v>
      </c>
      <c r="D15" s="13">
        <f>F15-'[1]Austria'!F15</f>
        <v>0</v>
      </c>
      <c r="E15" s="122">
        <v>8.4</v>
      </c>
      <c r="F15" s="13">
        <v>0</v>
      </c>
      <c r="G15" s="13"/>
      <c r="H15" s="13">
        <v>0</v>
      </c>
      <c r="I15" s="94"/>
      <c r="J15" s="94">
        <v>0</v>
      </c>
      <c r="K15" s="94">
        <v>0</v>
      </c>
      <c r="L15" s="94">
        <v>0</v>
      </c>
      <c r="M15" s="94">
        <v>0</v>
      </c>
      <c r="N15" s="94">
        <v>15</v>
      </c>
      <c r="O15" s="94">
        <v>0</v>
      </c>
      <c r="P15" s="94">
        <v>0</v>
      </c>
      <c r="Q15" s="94">
        <v>0</v>
      </c>
      <c r="R15" s="13">
        <v>7</v>
      </c>
      <c r="S15" s="37">
        <v>10</v>
      </c>
    </row>
    <row r="16" spans="1:19" ht="12.75">
      <c r="A16" s="29" t="s">
        <v>13</v>
      </c>
      <c r="B16" s="35">
        <f t="shared" si="0"/>
        <v>-0.06778584392014524</v>
      </c>
      <c r="C16" s="140">
        <f>E16-'[1]Austria'!E16</f>
        <v>-67.10000000000002</v>
      </c>
      <c r="D16" s="13">
        <f>F16-'[1]Austria'!F16</f>
        <v>-242.24</v>
      </c>
      <c r="E16" s="122">
        <v>513.65</v>
      </c>
      <c r="F16" s="13">
        <v>551</v>
      </c>
      <c r="G16" s="13">
        <v>829.14</v>
      </c>
      <c r="H16" s="13">
        <v>405</v>
      </c>
      <c r="I16" s="94">
        <v>60.18</v>
      </c>
      <c r="J16" s="94">
        <v>949.06</v>
      </c>
      <c r="K16" s="94">
        <v>626.14</v>
      </c>
      <c r="L16" s="94">
        <v>1220.06</v>
      </c>
      <c r="M16" s="94">
        <v>862.92</v>
      </c>
      <c r="N16" s="94">
        <v>1218</v>
      </c>
      <c r="O16" s="94">
        <v>1388</v>
      </c>
      <c r="P16" s="94">
        <v>1279</v>
      </c>
      <c r="Q16" s="94">
        <v>1522</v>
      </c>
      <c r="R16" s="13">
        <v>636</v>
      </c>
      <c r="S16" s="37">
        <v>737</v>
      </c>
    </row>
    <row r="17" spans="1:19" ht="12.75">
      <c r="A17" s="79" t="s">
        <v>133</v>
      </c>
      <c r="B17" s="35">
        <f t="shared" si="0"/>
        <v>-0.05951679434295816</v>
      </c>
      <c r="C17" s="140">
        <f>E17-'[1]Austria'!E17</f>
        <v>-14.299999999999955</v>
      </c>
      <c r="D17" s="13">
        <f>F17-'[1]Austria'!F17</f>
        <v>-121.68000000000006</v>
      </c>
      <c r="E17" s="122">
        <v>1596</v>
      </c>
      <c r="F17" s="13">
        <v>1697</v>
      </c>
      <c r="G17" s="13">
        <v>1549.38</v>
      </c>
      <c r="H17" s="13">
        <v>322</v>
      </c>
      <c r="I17" s="94"/>
      <c r="J17" s="94"/>
      <c r="K17" s="94"/>
      <c r="L17" s="94"/>
      <c r="M17" s="94"/>
      <c r="N17" s="94"/>
      <c r="O17" s="94"/>
      <c r="P17" s="94"/>
      <c r="Q17" s="94"/>
      <c r="R17" s="13"/>
      <c r="S17" s="37"/>
    </row>
    <row r="18" spans="1:19" ht="12.75">
      <c r="A18" s="29" t="s">
        <v>115</v>
      </c>
      <c r="B18" s="35"/>
      <c r="C18" s="140">
        <f>E18-'[1]Austria'!E18</f>
        <v>-3.9</v>
      </c>
      <c r="D18" s="13">
        <f>F18-'[1]Austria'!F18</f>
        <v>0</v>
      </c>
      <c r="E18" s="122">
        <v>0</v>
      </c>
      <c r="F18" s="13">
        <v>0</v>
      </c>
      <c r="G18" s="13">
        <v>2.04</v>
      </c>
      <c r="H18" s="13">
        <v>0</v>
      </c>
      <c r="I18" s="13"/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2</v>
      </c>
      <c r="P18" s="13">
        <v>98</v>
      </c>
      <c r="Q18" s="13">
        <v>10</v>
      </c>
      <c r="R18" s="13">
        <v>49</v>
      </c>
      <c r="S18" s="37">
        <v>15</v>
      </c>
    </row>
    <row r="19" spans="1:19" ht="12.75">
      <c r="A19" s="29" t="s">
        <v>96</v>
      </c>
      <c r="B19" s="35">
        <f t="shared" si="0"/>
        <v>-0.8336223506743737</v>
      </c>
      <c r="C19" s="140">
        <f>E19-'[1]Austria'!E19</f>
        <v>-255.25000000000003</v>
      </c>
      <c r="D19" s="13">
        <f>F19-'[1]Austria'!F19</f>
        <v>-584.8</v>
      </c>
      <c r="E19" s="122">
        <v>86.35</v>
      </c>
      <c r="F19" s="13">
        <v>519</v>
      </c>
      <c r="G19" s="13">
        <v>3319.52</v>
      </c>
      <c r="H19" s="13">
        <v>0</v>
      </c>
      <c r="I19" s="13"/>
      <c r="J19" s="13">
        <v>2391.8</v>
      </c>
      <c r="K19" s="13">
        <v>2222.9</v>
      </c>
      <c r="L19" s="13">
        <v>1999.94</v>
      </c>
      <c r="M19" s="13">
        <v>764.26</v>
      </c>
      <c r="N19" s="13">
        <v>2443</v>
      </c>
      <c r="O19" s="13">
        <v>1669</v>
      </c>
      <c r="P19" s="13">
        <v>2258</v>
      </c>
      <c r="Q19" s="13">
        <v>7</v>
      </c>
      <c r="R19" s="13">
        <v>0</v>
      </c>
      <c r="S19" s="37">
        <v>0</v>
      </c>
    </row>
    <row r="20" spans="1:19" ht="13.5" thickBot="1">
      <c r="A20" s="30" t="s">
        <v>59</v>
      </c>
      <c r="B20" s="36">
        <f t="shared" si="0"/>
        <v>1.0506799999999998</v>
      </c>
      <c r="C20" s="139">
        <f>E20-'[1]Austria'!E20</f>
        <v>12.799999999999727</v>
      </c>
      <c r="D20" s="15">
        <f>F20-'[1]Austria'!F20</f>
        <v>-192.31999999999994</v>
      </c>
      <c r="E20" s="125">
        <v>2563.35</v>
      </c>
      <c r="F20" s="15">
        <v>1250</v>
      </c>
      <c r="G20" s="15">
        <v>1305.28</v>
      </c>
      <c r="H20" s="15">
        <f>56+35</f>
        <v>91</v>
      </c>
      <c r="I20" s="95">
        <v>205</v>
      </c>
      <c r="J20" s="95">
        <v>277.16</v>
      </c>
      <c r="K20" s="95">
        <v>380</v>
      </c>
      <c r="L20" s="95">
        <v>1465.4</v>
      </c>
      <c r="M20" s="95">
        <v>203.04</v>
      </c>
      <c r="N20" s="95">
        <v>271</v>
      </c>
      <c r="O20" s="95">
        <v>1293</v>
      </c>
      <c r="P20" s="95">
        <v>265</v>
      </c>
      <c r="Q20" s="95">
        <v>32</v>
      </c>
      <c r="R20" s="15">
        <v>100</v>
      </c>
      <c r="S20" s="39">
        <v>184</v>
      </c>
    </row>
    <row r="21" spans="1:19" ht="13.5" thickBot="1">
      <c r="A21" s="45" t="s">
        <v>23</v>
      </c>
      <c r="B21" s="41">
        <f t="shared" si="0"/>
        <v>0.3405602767716168</v>
      </c>
      <c r="C21" s="169">
        <f>E21-'[1]Austria'!E21</f>
        <v>-12218.100000000013</v>
      </c>
      <c r="D21" s="42">
        <f>F21-'[1]Austria'!F21</f>
        <v>-18445.480000000003</v>
      </c>
      <c r="E21" s="115">
        <f>SUM(E2:E20)</f>
        <v>57735.24999999999</v>
      </c>
      <c r="F21" s="42">
        <f>SUM(F2:F20)</f>
        <v>43068</v>
      </c>
      <c r="G21" s="42">
        <f>SUM(G2:G20)</f>
        <v>73183.84</v>
      </c>
      <c r="H21" s="42">
        <f aca="true" t="shared" si="1" ref="H21:M21">SUM(H2:H20)</f>
        <v>27178</v>
      </c>
      <c r="I21" s="42">
        <f t="shared" si="1"/>
        <v>13851.8</v>
      </c>
      <c r="J21" s="42">
        <f t="shared" si="1"/>
        <v>76315.62</v>
      </c>
      <c r="K21" s="42">
        <f t="shared" si="1"/>
        <v>76178.22</v>
      </c>
      <c r="L21" s="42">
        <f t="shared" si="1"/>
        <v>77032</v>
      </c>
      <c r="M21" s="42">
        <f t="shared" si="1"/>
        <v>56929.32000000001</v>
      </c>
      <c r="N21" s="42">
        <f aca="true" t="shared" si="2" ref="N21:S21">SUM(N2:N20)</f>
        <v>86832</v>
      </c>
      <c r="O21" s="42">
        <f t="shared" si="2"/>
        <v>78526</v>
      </c>
      <c r="P21" s="42">
        <f t="shared" si="2"/>
        <v>82632</v>
      </c>
      <c r="Q21" s="42">
        <f t="shared" si="2"/>
        <v>78965</v>
      </c>
      <c r="R21" s="42">
        <f t="shared" si="2"/>
        <v>62632</v>
      </c>
      <c r="S21" s="43">
        <f t="shared" si="2"/>
        <v>60027</v>
      </c>
    </row>
    <row r="22" spans="2:17" s="9" customFormat="1" ht="12.75">
      <c r="B22" s="44"/>
      <c r="C22" s="44"/>
      <c r="D22" s="44"/>
      <c r="E22" s="44"/>
      <c r="F22" s="44"/>
      <c r="G22" s="44"/>
      <c r="H22" s="44"/>
      <c r="I22" s="44"/>
      <c r="J22" s="12"/>
      <c r="K22" s="12"/>
      <c r="L22" s="12"/>
      <c r="M22" s="12"/>
      <c r="N22" s="12"/>
      <c r="O22" s="12"/>
      <c r="P22" s="12"/>
      <c r="Q22" s="12"/>
    </row>
    <row r="27" spans="18:20" ht="18">
      <c r="R27" s="5"/>
      <c r="S27" s="1"/>
      <c r="T27" s="1"/>
    </row>
    <row r="28" spans="18:20" ht="18">
      <c r="R28" s="5"/>
      <c r="S28" s="1"/>
      <c r="T28" s="1"/>
    </row>
    <row r="29" spans="18:20" ht="18">
      <c r="R29" s="5"/>
      <c r="S29" s="1"/>
      <c r="T29" s="1"/>
    </row>
    <row r="30" spans="18:20" ht="18">
      <c r="R30" s="5"/>
      <c r="S30" s="1"/>
      <c r="T30" s="1"/>
    </row>
    <row r="31" spans="18:20" ht="18">
      <c r="R31" s="5"/>
      <c r="S31" s="1"/>
      <c r="T31" s="1"/>
    </row>
    <row r="32" spans="18:20" ht="18">
      <c r="R32" s="5"/>
      <c r="S32" s="1"/>
      <c r="T32" s="1"/>
    </row>
    <row r="33" spans="18:20" ht="18">
      <c r="R33" s="5"/>
      <c r="S33" s="1"/>
      <c r="T33" s="1"/>
    </row>
    <row r="34" spans="18:20" ht="18">
      <c r="R34" s="5"/>
      <c r="S34" s="1"/>
      <c r="T34" s="1"/>
    </row>
    <row r="35" spans="18:20" ht="18">
      <c r="R35" s="5"/>
      <c r="S35" s="1"/>
      <c r="T35" s="1"/>
    </row>
    <row r="36" spans="18:20" ht="18">
      <c r="R36" s="5"/>
      <c r="S36" s="1"/>
      <c r="T36" s="1"/>
    </row>
    <row r="37" spans="18:20" ht="18">
      <c r="R37" s="6"/>
      <c r="S37" s="1"/>
      <c r="T37" s="1"/>
    </row>
    <row r="38" spans="18:20" ht="18">
      <c r="R38" s="7"/>
      <c r="S38" s="2"/>
      <c r="T38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F30" sqref="F30"/>
    </sheetView>
  </sheetViews>
  <sheetFormatPr defaultColWidth="8.8515625" defaultRowHeight="12.75"/>
  <cols>
    <col min="1" max="1" width="29.140625" style="0" customWidth="1"/>
    <col min="2" max="2" width="10.8515625" style="0" customWidth="1"/>
    <col min="3" max="3" width="11.7109375" style="0" bestFit="1" customWidth="1"/>
    <col min="4" max="4" width="11.7109375" style="9" bestFit="1" customWidth="1"/>
    <col min="5" max="7" width="11.7109375" style="9" customWidth="1"/>
    <col min="8" max="8" width="11.140625" style="9" customWidth="1"/>
    <col min="9" max="9" width="10.8515625" style="0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32" t="s">
        <v>178</v>
      </c>
      <c r="C1" s="162" t="s">
        <v>177</v>
      </c>
      <c r="D1" s="93" t="s">
        <v>171</v>
      </c>
      <c r="E1" s="165">
        <v>44287</v>
      </c>
      <c r="F1" s="132">
        <v>43922</v>
      </c>
      <c r="G1" s="132">
        <v>43556</v>
      </c>
      <c r="H1" s="132">
        <v>43191</v>
      </c>
      <c r="I1" s="33">
        <v>42826</v>
      </c>
      <c r="J1" s="33">
        <v>42461</v>
      </c>
      <c r="K1" s="33">
        <v>42095</v>
      </c>
      <c r="L1" s="33">
        <v>41730</v>
      </c>
      <c r="M1" s="33">
        <v>41365</v>
      </c>
      <c r="N1" s="33">
        <v>41000</v>
      </c>
      <c r="O1" s="33">
        <v>40634</v>
      </c>
      <c r="P1" s="33">
        <v>40269</v>
      </c>
      <c r="Q1" s="33">
        <v>39904</v>
      </c>
      <c r="R1" s="33">
        <v>39539</v>
      </c>
      <c r="S1" s="34">
        <v>39173</v>
      </c>
    </row>
    <row r="2" spans="1:19" ht="12.75">
      <c r="A2" s="27" t="s">
        <v>4</v>
      </c>
      <c r="B2" s="35"/>
      <c r="C2" s="140">
        <f>E2-'[1]Belgium'!E2</f>
        <v>-572</v>
      </c>
      <c r="D2" s="13">
        <f>F2-'[1]Belgium'!F2</f>
        <v>-162</v>
      </c>
      <c r="E2" s="122">
        <v>1315</v>
      </c>
      <c r="F2" s="13">
        <v>0</v>
      </c>
      <c r="G2" s="13">
        <v>1705</v>
      </c>
      <c r="H2" s="13">
        <v>0</v>
      </c>
      <c r="I2" s="13">
        <v>0</v>
      </c>
      <c r="J2" s="13">
        <v>1251</v>
      </c>
      <c r="K2" s="13">
        <v>975</v>
      </c>
      <c r="L2" s="13">
        <v>399</v>
      </c>
      <c r="M2" s="13">
        <v>0</v>
      </c>
      <c r="N2" s="13">
        <v>0</v>
      </c>
      <c r="O2" s="13">
        <v>0</v>
      </c>
      <c r="P2" s="13">
        <v>0</v>
      </c>
      <c r="Q2" s="13">
        <v>500</v>
      </c>
      <c r="R2" s="13">
        <v>4800</v>
      </c>
      <c r="S2" s="37">
        <v>1500</v>
      </c>
    </row>
    <row r="3" spans="1:19" ht="12.75">
      <c r="A3" s="27" t="s">
        <v>161</v>
      </c>
      <c r="B3" s="35"/>
      <c r="C3" s="140">
        <f>E3-'[1]Belgium'!E3</f>
        <v>0</v>
      </c>
      <c r="D3" s="13">
        <f>F3-'[1]Belgium'!F3</f>
        <v>0</v>
      </c>
      <c r="E3" s="122"/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700</v>
      </c>
      <c r="S3" s="37">
        <v>50</v>
      </c>
    </row>
    <row r="4" spans="1:19" ht="12.75">
      <c r="A4" s="27" t="s">
        <v>2</v>
      </c>
      <c r="B4" s="35">
        <f aca="true" t="shared" si="0" ref="B4:B10">(E4-F4)/F4</f>
        <v>-1</v>
      </c>
      <c r="C4" s="140">
        <f>E4-'[1]Belgium'!E4</f>
        <v>-6</v>
      </c>
      <c r="D4" s="13">
        <f>F4-'[1]Belgium'!F4</f>
        <v>-154</v>
      </c>
      <c r="E4" s="122">
        <v>0</v>
      </c>
      <c r="F4" s="13">
        <v>57</v>
      </c>
      <c r="G4" s="13">
        <v>937</v>
      </c>
      <c r="H4" s="13">
        <v>4</v>
      </c>
      <c r="I4" s="13">
        <v>2</v>
      </c>
      <c r="J4" s="13">
        <v>422</v>
      </c>
      <c r="K4" s="13">
        <v>1147</v>
      </c>
      <c r="L4" s="13">
        <v>238</v>
      </c>
      <c r="M4" s="13">
        <v>0</v>
      </c>
      <c r="N4" s="13">
        <v>50</v>
      </c>
      <c r="O4" s="13">
        <v>0</v>
      </c>
      <c r="P4" s="13">
        <v>0</v>
      </c>
      <c r="Q4" s="13">
        <v>0</v>
      </c>
      <c r="R4" s="13">
        <v>1500</v>
      </c>
      <c r="S4" s="37">
        <v>0</v>
      </c>
    </row>
    <row r="5" spans="1:19" ht="12.75">
      <c r="A5" s="27" t="s">
        <v>101</v>
      </c>
      <c r="B5" s="35"/>
      <c r="C5" s="140">
        <f>E5-'[1]Belgium'!E5</f>
        <v>0</v>
      </c>
      <c r="D5" s="13">
        <f>F5-'[1]Belgium'!F5</f>
        <v>0</v>
      </c>
      <c r="E5" s="12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7">
        <v>400</v>
      </c>
    </row>
    <row r="6" spans="1:19" ht="12.75">
      <c r="A6" s="27" t="s">
        <v>3</v>
      </c>
      <c r="B6" s="35">
        <f t="shared" si="0"/>
        <v>-0.7248214429018538</v>
      </c>
      <c r="C6" s="140">
        <f>E6-'[1]Belgium'!E6</f>
        <v>-2296</v>
      </c>
      <c r="D6" s="13">
        <f>F6-'[1]Belgium'!F6</f>
        <v>-1582</v>
      </c>
      <c r="E6" s="122">
        <v>3429</v>
      </c>
      <c r="F6" s="13">
        <v>12461</v>
      </c>
      <c r="G6" s="13">
        <v>6474</v>
      </c>
      <c r="H6" s="13">
        <v>4463</v>
      </c>
      <c r="I6" s="13">
        <v>8496</v>
      </c>
      <c r="J6" s="13">
        <v>12271</v>
      </c>
      <c r="K6" s="13">
        <v>10650</v>
      </c>
      <c r="L6" s="13">
        <v>9862</v>
      </c>
      <c r="M6" s="13">
        <v>7133</v>
      </c>
      <c r="N6" s="13">
        <v>7700</v>
      </c>
      <c r="O6" s="13">
        <v>3557.8108285198987</v>
      </c>
      <c r="P6" s="13">
        <v>13464</v>
      </c>
      <c r="Q6" s="13">
        <v>7900</v>
      </c>
      <c r="R6" s="13">
        <v>11800</v>
      </c>
      <c r="S6" s="37">
        <v>11500</v>
      </c>
    </row>
    <row r="7" spans="1:19" ht="12.75">
      <c r="A7" s="28" t="s">
        <v>27</v>
      </c>
      <c r="B7" s="35">
        <f t="shared" si="0"/>
        <v>-0.3391153767133339</v>
      </c>
      <c r="C7" s="140">
        <f>E7-'[1]Belgium'!E7</f>
        <v>-4102</v>
      </c>
      <c r="D7" s="13">
        <f>F7-'[1]Belgium'!F7</f>
        <v>-8178</v>
      </c>
      <c r="E7" s="122">
        <v>22517</v>
      </c>
      <c r="F7" s="13">
        <v>34071</v>
      </c>
      <c r="G7" s="13">
        <v>29222</v>
      </c>
      <c r="H7" s="13">
        <v>1389</v>
      </c>
      <c r="I7" s="94">
        <v>21885</v>
      </c>
      <c r="J7" s="94">
        <v>44000</v>
      </c>
      <c r="K7" s="94">
        <v>55663</v>
      </c>
      <c r="L7" s="94">
        <v>28091</v>
      </c>
      <c r="M7" s="94">
        <v>20800</v>
      </c>
      <c r="N7" s="94">
        <v>27760</v>
      </c>
      <c r="O7" s="94">
        <v>36832.986024043304</v>
      </c>
      <c r="P7" s="94">
        <v>54892</v>
      </c>
      <c r="Q7" s="94">
        <v>89400</v>
      </c>
      <c r="R7" s="13">
        <v>65600</v>
      </c>
      <c r="S7" s="37">
        <v>72600</v>
      </c>
    </row>
    <row r="8" spans="1:19" ht="12.75">
      <c r="A8" s="29" t="s">
        <v>26</v>
      </c>
      <c r="B8" s="35">
        <f t="shared" si="0"/>
        <v>-0.6856323695687288</v>
      </c>
      <c r="C8" s="140">
        <f>E8-'[1]Belgium'!E8</f>
        <v>-2332</v>
      </c>
      <c r="D8" s="13">
        <f>F8-'[1]Belgium'!F8</f>
        <v>-2964</v>
      </c>
      <c r="E8" s="122">
        <v>7785</v>
      </c>
      <c r="F8" s="13">
        <v>24764</v>
      </c>
      <c r="G8" s="13">
        <v>24720</v>
      </c>
      <c r="H8" s="13">
        <v>430</v>
      </c>
      <c r="I8" s="94">
        <v>14892</v>
      </c>
      <c r="J8" s="94">
        <v>18325</v>
      </c>
      <c r="K8" s="94">
        <v>30347</v>
      </c>
      <c r="L8" s="94">
        <v>10717</v>
      </c>
      <c r="M8" s="94">
        <v>13880</v>
      </c>
      <c r="N8" s="94">
        <v>16100</v>
      </c>
      <c r="O8" s="94">
        <v>9727.726031768952</v>
      </c>
      <c r="P8" s="94">
        <v>18320</v>
      </c>
      <c r="Q8" s="94">
        <v>22100</v>
      </c>
      <c r="R8" s="13">
        <v>26500</v>
      </c>
      <c r="S8" s="37">
        <v>24650</v>
      </c>
    </row>
    <row r="9" spans="1:19" ht="13.5" thickBot="1">
      <c r="A9" s="28" t="s">
        <v>59</v>
      </c>
      <c r="B9" s="35">
        <f t="shared" si="0"/>
        <v>2.335736354273944</v>
      </c>
      <c r="C9" s="140">
        <f>E9-'[1]Belgium'!E9</f>
        <v>-788</v>
      </c>
      <c r="D9" s="13">
        <f>F9-'[1]Belgium'!F9</f>
        <v>-1295</v>
      </c>
      <c r="E9" s="122">
        <v>16195</v>
      </c>
      <c r="F9" s="13">
        <v>4855</v>
      </c>
      <c r="G9" s="13">
        <v>10210</v>
      </c>
      <c r="H9" s="13">
        <v>1971</v>
      </c>
      <c r="I9" s="94">
        <v>338</v>
      </c>
      <c r="J9" s="94">
        <v>12109</v>
      </c>
      <c r="K9" s="94">
        <v>4056</v>
      </c>
      <c r="L9" s="94">
        <v>5724</v>
      </c>
      <c r="M9" s="94">
        <v>4143</v>
      </c>
      <c r="N9" s="94">
        <v>4800</v>
      </c>
      <c r="O9" s="94">
        <v>9188.73226101083</v>
      </c>
      <c r="P9" s="94">
        <v>6055</v>
      </c>
      <c r="Q9" s="94">
        <v>16800</v>
      </c>
      <c r="R9" s="13">
        <v>17200</v>
      </c>
      <c r="S9" s="37">
        <v>1900</v>
      </c>
    </row>
    <row r="10" spans="1:19" ht="13.5" thickBot="1">
      <c r="A10" s="147" t="s">
        <v>23</v>
      </c>
      <c r="B10" s="156">
        <f t="shared" si="0"/>
        <v>-0.32761652319966406</v>
      </c>
      <c r="C10" s="167">
        <f>E10-'[1]Belgium'!E10</f>
        <v>-10096</v>
      </c>
      <c r="D10" s="103">
        <f>F10-'[1]Belgium'!F10</f>
        <v>-14335</v>
      </c>
      <c r="E10" s="160">
        <f>SUM(E2:E9)</f>
        <v>51241</v>
      </c>
      <c r="F10" s="103">
        <f>SUM(F2:F9)</f>
        <v>76208</v>
      </c>
      <c r="G10" s="103">
        <f>SUM(G2:G9)</f>
        <v>73268</v>
      </c>
      <c r="H10" s="103">
        <f aca="true" t="shared" si="1" ref="H10:M10">SUM(H2:H9)</f>
        <v>8257</v>
      </c>
      <c r="I10" s="103">
        <f t="shared" si="1"/>
        <v>45613</v>
      </c>
      <c r="J10" s="103">
        <f t="shared" si="1"/>
        <v>88378</v>
      </c>
      <c r="K10" s="103">
        <f t="shared" si="1"/>
        <v>102838</v>
      </c>
      <c r="L10" s="103">
        <f t="shared" si="1"/>
        <v>55031</v>
      </c>
      <c r="M10" s="103">
        <f t="shared" si="1"/>
        <v>45956</v>
      </c>
      <c r="N10" s="103">
        <f aca="true" t="shared" si="2" ref="N10:S10">SUM(N2:N9)</f>
        <v>56410</v>
      </c>
      <c r="O10" s="103">
        <f t="shared" si="2"/>
        <v>59307.255145342984</v>
      </c>
      <c r="P10" s="103">
        <f t="shared" si="2"/>
        <v>92731</v>
      </c>
      <c r="Q10" s="103">
        <f t="shared" si="2"/>
        <v>136700</v>
      </c>
      <c r="R10" s="103">
        <f t="shared" si="2"/>
        <v>128100</v>
      </c>
      <c r="S10" s="148">
        <f t="shared" si="2"/>
        <v>112600</v>
      </c>
    </row>
    <row r="11" spans="1:17" s="9" customFormat="1" ht="12.75">
      <c r="A11" s="9" t="s">
        <v>102</v>
      </c>
      <c r="B11" s="44"/>
      <c r="C11" s="44"/>
      <c r="D11" s="44"/>
      <c r="E11" s="44"/>
      <c r="F11" s="44"/>
      <c r="G11" s="44"/>
      <c r="H11" s="44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9" customFormat="1" ht="12.75">
      <c r="A12" s="9" t="s">
        <v>160</v>
      </c>
      <c r="B12" s="44"/>
      <c r="C12" s="44"/>
      <c r="D12" s="44"/>
      <c r="E12" s="44"/>
      <c r="F12" s="44"/>
      <c r="G12" s="44"/>
      <c r="H12" s="44"/>
      <c r="I12" s="12"/>
      <c r="J12" s="12"/>
      <c r="K12" s="12"/>
      <c r="L12" s="12"/>
      <c r="M12" s="12"/>
      <c r="N12" s="12"/>
      <c r="O12" s="12"/>
      <c r="P12" s="12"/>
      <c r="Q12" s="12"/>
    </row>
    <row r="13" spans="2:17" s="9" customFormat="1" ht="13.5" thickBot="1">
      <c r="B13" s="44"/>
      <c r="C13" s="44"/>
      <c r="D13" s="44"/>
      <c r="E13" s="44"/>
      <c r="F13" s="44"/>
      <c r="G13" s="44"/>
      <c r="H13" s="44"/>
      <c r="I13" s="12"/>
      <c r="J13" s="12"/>
      <c r="K13" s="12"/>
      <c r="L13" s="12"/>
      <c r="M13" s="12"/>
      <c r="N13" s="12"/>
      <c r="O13" s="12"/>
      <c r="P13" s="12"/>
      <c r="Q13" s="12"/>
    </row>
    <row r="14" spans="1:19" s="16" customFormat="1" ht="13.5" thickBot="1">
      <c r="A14" s="31" t="s">
        <v>25</v>
      </c>
      <c r="B14" s="32" t="s">
        <v>178</v>
      </c>
      <c r="C14" s="162" t="s">
        <v>177</v>
      </c>
      <c r="D14" s="93" t="s">
        <v>171</v>
      </c>
      <c r="E14" s="165">
        <v>44287</v>
      </c>
      <c r="F14" s="132">
        <v>43922</v>
      </c>
      <c r="G14" s="132">
        <v>43556</v>
      </c>
      <c r="H14" s="132">
        <v>43191</v>
      </c>
      <c r="I14" s="33">
        <v>42826</v>
      </c>
      <c r="J14" s="33">
        <v>42461</v>
      </c>
      <c r="K14" s="33">
        <v>42095</v>
      </c>
      <c r="L14" s="33">
        <v>41730</v>
      </c>
      <c r="M14" s="33">
        <v>41365</v>
      </c>
      <c r="N14" s="33">
        <v>41000</v>
      </c>
      <c r="O14" s="33">
        <v>40634</v>
      </c>
      <c r="P14" s="33">
        <v>40269</v>
      </c>
      <c r="Q14" s="33">
        <v>39904</v>
      </c>
      <c r="R14" s="33">
        <v>39539</v>
      </c>
      <c r="S14" s="34">
        <v>39173</v>
      </c>
    </row>
    <row r="15" spans="1:19" ht="12.75">
      <c r="A15" s="27" t="s">
        <v>7</v>
      </c>
      <c r="B15" s="35">
        <f>(E15-F15)/F15</f>
        <v>0.567578286660229</v>
      </c>
      <c r="C15" s="140">
        <f>E15-'[1]Belgium'!E15</f>
        <v>-60939</v>
      </c>
      <c r="D15" s="13">
        <f>F15-'[1]Belgium'!F15</f>
        <v>-36218</v>
      </c>
      <c r="E15" s="122">
        <v>90907</v>
      </c>
      <c r="F15" s="13">
        <v>57992</v>
      </c>
      <c r="G15" s="81">
        <v>70000</v>
      </c>
      <c r="H15" s="13">
        <v>40230</v>
      </c>
      <c r="I15" s="13">
        <v>57000</v>
      </c>
      <c r="J15" s="13">
        <v>86049</v>
      </c>
      <c r="K15" s="13">
        <v>65231</v>
      </c>
      <c r="L15" s="13">
        <v>37805</v>
      </c>
      <c r="M15" s="13">
        <v>29495</v>
      </c>
      <c r="N15" s="13">
        <v>34000</v>
      </c>
      <c r="O15" s="13">
        <v>50300</v>
      </c>
      <c r="P15" s="13">
        <v>44300</v>
      </c>
      <c r="Q15" s="13">
        <v>8500</v>
      </c>
      <c r="R15" s="13">
        <v>62800</v>
      </c>
      <c r="S15" s="37">
        <v>66900</v>
      </c>
    </row>
    <row r="16" spans="1:19" ht="12.75">
      <c r="A16" s="27" t="s">
        <v>100</v>
      </c>
      <c r="B16" s="35"/>
      <c r="C16" s="140">
        <f>E16-'[1]Belgium'!E16</f>
        <v>-3199</v>
      </c>
      <c r="D16" s="13">
        <f>F16-'[1]Belgium'!F16</f>
        <v>-25</v>
      </c>
      <c r="E16" s="122">
        <v>75</v>
      </c>
      <c r="F16" s="13">
        <v>0</v>
      </c>
      <c r="G16" s="13">
        <v>247</v>
      </c>
      <c r="H16" s="13">
        <v>0</v>
      </c>
      <c r="I16" s="13">
        <v>25</v>
      </c>
      <c r="J16" s="13">
        <v>282</v>
      </c>
      <c r="K16" s="13">
        <v>641</v>
      </c>
      <c r="L16" s="13">
        <v>330</v>
      </c>
      <c r="M16" s="13">
        <v>0</v>
      </c>
      <c r="N16" s="13">
        <v>110</v>
      </c>
      <c r="O16" s="13">
        <v>0</v>
      </c>
      <c r="P16" s="13">
        <v>0</v>
      </c>
      <c r="Q16" s="13">
        <v>0</v>
      </c>
      <c r="R16" s="13">
        <v>0</v>
      </c>
      <c r="S16" s="37">
        <v>600</v>
      </c>
    </row>
    <row r="17" spans="1:19" ht="12.75">
      <c r="A17" s="53" t="s">
        <v>162</v>
      </c>
      <c r="B17" s="35"/>
      <c r="C17" s="140">
        <f>E17-'[1]Belgium'!E17</f>
        <v>-186</v>
      </c>
      <c r="D17" s="13">
        <f>F17-'[1]Belgium'!F17</f>
        <v>0</v>
      </c>
      <c r="E17" s="122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/>
      <c r="L17" s="13"/>
      <c r="M17" s="13"/>
      <c r="N17" s="13"/>
      <c r="O17" s="13"/>
      <c r="P17" s="13"/>
      <c r="Q17" s="13"/>
      <c r="R17" s="13"/>
      <c r="S17" s="37"/>
    </row>
    <row r="18" spans="1:19" ht="13.5" thickBot="1">
      <c r="A18" s="27" t="s">
        <v>6</v>
      </c>
      <c r="B18" s="35">
        <f>(E18-F18)/F18</f>
        <v>1.1442307692307692</v>
      </c>
      <c r="C18" s="140">
        <f>E18-'[1]Belgium'!E18</f>
        <v>-362</v>
      </c>
      <c r="D18" s="13">
        <f>F18-'[1]Belgium'!F18</f>
        <v>-33</v>
      </c>
      <c r="E18" s="122">
        <v>446</v>
      </c>
      <c r="F18" s="13">
        <v>208</v>
      </c>
      <c r="G18" s="13">
        <v>850</v>
      </c>
      <c r="H18" s="13">
        <v>64</v>
      </c>
      <c r="I18" s="13">
        <v>0</v>
      </c>
      <c r="J18" s="13">
        <v>0</v>
      </c>
      <c r="K18" s="13">
        <v>840</v>
      </c>
      <c r="L18" s="13">
        <v>0</v>
      </c>
      <c r="M18" s="13">
        <v>0</v>
      </c>
      <c r="N18" s="13">
        <v>120</v>
      </c>
      <c r="O18" s="13">
        <v>0</v>
      </c>
      <c r="P18" s="13">
        <v>0</v>
      </c>
      <c r="Q18" s="13">
        <v>0</v>
      </c>
      <c r="R18" s="13">
        <v>0</v>
      </c>
      <c r="S18" s="37">
        <v>500</v>
      </c>
    </row>
    <row r="19" spans="1:19" ht="13.5" thickBot="1">
      <c r="A19" s="31" t="s">
        <v>23</v>
      </c>
      <c r="B19" s="156">
        <f>(E19-F19)/F19</f>
        <v>0.5709278350515464</v>
      </c>
      <c r="C19" s="167">
        <f>E19-'[1]Belgium'!E19</f>
        <v>-64686</v>
      </c>
      <c r="D19" s="103">
        <f>F19-'[1]Belgium'!F19</f>
        <v>-36276</v>
      </c>
      <c r="E19" s="160">
        <f>SUM(E15:E18)</f>
        <v>91428</v>
      </c>
      <c r="F19" s="103">
        <f>SUM(F15:F18)</f>
        <v>58200</v>
      </c>
      <c r="G19" s="103">
        <f>SUM(G15:G18)</f>
        <v>71097</v>
      </c>
      <c r="H19" s="103">
        <f>SUM(H15:H18)</f>
        <v>40294</v>
      </c>
      <c r="I19" s="103">
        <f aca="true" t="shared" si="3" ref="I19:N19">SUM(I15:I18)</f>
        <v>57025</v>
      </c>
      <c r="J19" s="103">
        <f t="shared" si="3"/>
        <v>86331</v>
      </c>
      <c r="K19" s="103">
        <f t="shared" si="3"/>
        <v>66712</v>
      </c>
      <c r="L19" s="103">
        <f t="shared" si="3"/>
        <v>38135</v>
      </c>
      <c r="M19" s="103">
        <f t="shared" si="3"/>
        <v>29495</v>
      </c>
      <c r="N19" s="103">
        <f t="shared" si="3"/>
        <v>34230</v>
      </c>
      <c r="O19" s="103">
        <v>50300</v>
      </c>
      <c r="P19" s="103">
        <f>SUM(P15:P18)</f>
        <v>44300</v>
      </c>
      <c r="Q19" s="103">
        <f>SUM(Q15:Q18)</f>
        <v>8500</v>
      </c>
      <c r="R19" s="103">
        <f>SUM(R15:R18)</f>
        <v>62800</v>
      </c>
      <c r="S19" s="148">
        <f>SUM(S15:S18)</f>
        <v>68000</v>
      </c>
    </row>
    <row r="26" spans="18:20" ht="18">
      <c r="R26" s="5"/>
      <c r="S26" s="1"/>
      <c r="T26" s="1"/>
    </row>
    <row r="27" spans="18:20" ht="18">
      <c r="R27" s="5"/>
      <c r="S27" s="1"/>
      <c r="T27" s="1"/>
    </row>
    <row r="28" spans="18:20" ht="18">
      <c r="R28" s="5"/>
      <c r="S28" s="1"/>
      <c r="T28" s="1"/>
    </row>
    <row r="29" spans="18:20" ht="18">
      <c r="R29" s="5"/>
      <c r="S29" s="1"/>
      <c r="T29" s="1"/>
    </row>
    <row r="30" spans="18:20" ht="18">
      <c r="R30" s="5"/>
      <c r="S30" s="1"/>
      <c r="T30" s="1"/>
    </row>
    <row r="31" spans="18:20" ht="18">
      <c r="R31" s="5"/>
      <c r="S31" s="1"/>
      <c r="T31" s="1"/>
    </row>
    <row r="32" spans="18:20" ht="18">
      <c r="R32" s="5"/>
      <c r="S32" s="1"/>
      <c r="T32" s="1"/>
    </row>
    <row r="33" spans="18:20" ht="18">
      <c r="R33" s="5"/>
      <c r="S33" s="1"/>
      <c r="T33" s="1"/>
    </row>
    <row r="34" spans="18:20" ht="18">
      <c r="R34" s="5"/>
      <c r="S34" s="1"/>
      <c r="T34" s="1"/>
    </row>
    <row r="35" spans="18:20" ht="18">
      <c r="R35" s="5"/>
      <c r="S35" s="1"/>
      <c r="T35" s="1"/>
    </row>
    <row r="36" spans="18:20" ht="18">
      <c r="R36" s="6"/>
      <c r="S36" s="1"/>
      <c r="T36" s="1"/>
    </row>
    <row r="37" spans="18:20" ht="18">
      <c r="R37" s="7"/>
      <c r="S37" s="2"/>
      <c r="T37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C9" sqref="C9"/>
    </sheetView>
  </sheetViews>
  <sheetFormatPr defaultColWidth="8.8515625" defaultRowHeight="12.75"/>
  <cols>
    <col min="1" max="1" width="29.140625" style="0" customWidth="1"/>
    <col min="2" max="2" width="10.8515625" style="0" customWidth="1"/>
    <col min="3" max="3" width="11.7109375" style="0" bestFit="1" customWidth="1"/>
    <col min="4" max="4" width="11.7109375" style="9" bestFit="1" customWidth="1"/>
    <col min="5" max="7" width="11.7109375" style="9" customWidth="1"/>
    <col min="8" max="8" width="11.8515625" style="98" customWidth="1"/>
    <col min="9" max="9" width="10.7109375" style="97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32" t="s">
        <v>178</v>
      </c>
      <c r="C1" s="162" t="s">
        <v>177</v>
      </c>
      <c r="D1" s="93" t="s">
        <v>171</v>
      </c>
      <c r="E1" s="165">
        <v>44287</v>
      </c>
      <c r="F1" s="132">
        <v>43922</v>
      </c>
      <c r="G1" s="132">
        <v>43556</v>
      </c>
      <c r="H1" s="132">
        <v>43191</v>
      </c>
      <c r="I1" s="33">
        <v>42826</v>
      </c>
      <c r="J1" s="33">
        <v>42461</v>
      </c>
      <c r="K1" s="33">
        <v>42095</v>
      </c>
      <c r="L1" s="33">
        <v>41730</v>
      </c>
      <c r="M1" s="33">
        <v>41365</v>
      </c>
      <c r="N1" s="33">
        <v>41000</v>
      </c>
      <c r="O1" s="33">
        <v>40634</v>
      </c>
      <c r="P1" s="33">
        <v>40269</v>
      </c>
      <c r="Q1" s="33">
        <v>39904</v>
      </c>
      <c r="R1" s="33">
        <v>39539</v>
      </c>
      <c r="S1" s="34">
        <v>39173</v>
      </c>
    </row>
    <row r="2" spans="1:19" ht="12.75">
      <c r="A2" s="53" t="s">
        <v>11</v>
      </c>
      <c r="B2" s="35">
        <f>(E2-F2)/F2</f>
        <v>0.5356880058866814</v>
      </c>
      <c r="C2" s="140">
        <f>E2-'[1]Czech Republic'!E2</f>
        <v>-1466</v>
      </c>
      <c r="D2" s="13">
        <f>F2-'[1]Czech Republic'!F2</f>
        <v>-409</v>
      </c>
      <c r="E2" s="122">
        <v>2087</v>
      </c>
      <c r="F2" s="13">
        <v>1359</v>
      </c>
      <c r="G2" s="13">
        <v>2117</v>
      </c>
      <c r="H2" s="102">
        <v>307</v>
      </c>
      <c r="I2" s="13">
        <v>654</v>
      </c>
      <c r="J2" s="13"/>
      <c r="K2" s="13"/>
      <c r="L2" s="13"/>
      <c r="M2" s="13"/>
      <c r="N2" s="13"/>
      <c r="O2" s="13"/>
      <c r="P2" s="13"/>
      <c r="Q2" s="13"/>
      <c r="R2" s="13"/>
      <c r="S2" s="37"/>
    </row>
    <row r="3" spans="1:19" ht="12.75">
      <c r="A3" s="27" t="s">
        <v>9</v>
      </c>
      <c r="B3" s="35">
        <f aca="true" t="shared" si="0" ref="B3:B12">(E3-F3)/F3</f>
        <v>0.6845070422535211</v>
      </c>
      <c r="C3" s="140">
        <f>E3-'[1]Czech Republic'!E3</f>
        <v>-1670</v>
      </c>
      <c r="D3" s="13">
        <f>F3-'[1]Czech Republic'!F3</f>
        <v>-1152</v>
      </c>
      <c r="E3" s="122">
        <v>1196</v>
      </c>
      <c r="F3" s="13">
        <v>710</v>
      </c>
      <c r="G3" s="13">
        <v>1131</v>
      </c>
      <c r="H3" s="102">
        <v>1127</v>
      </c>
      <c r="I3" s="13">
        <v>597</v>
      </c>
      <c r="J3" s="13">
        <v>1908</v>
      </c>
      <c r="K3" s="13">
        <v>483</v>
      </c>
      <c r="L3" s="13">
        <v>431</v>
      </c>
      <c r="M3" s="13">
        <v>35</v>
      </c>
      <c r="N3" s="13">
        <v>47</v>
      </c>
      <c r="O3" s="13">
        <v>20</v>
      </c>
      <c r="P3" s="13">
        <v>7</v>
      </c>
      <c r="Q3" s="13">
        <v>16</v>
      </c>
      <c r="R3" s="13">
        <v>49</v>
      </c>
      <c r="S3" s="37">
        <v>41</v>
      </c>
    </row>
    <row r="4" spans="1:19" ht="12.75">
      <c r="A4" s="27" t="s">
        <v>14</v>
      </c>
      <c r="B4" s="35">
        <f t="shared" si="0"/>
        <v>-0.10377358490566038</v>
      </c>
      <c r="C4" s="140">
        <f>E4-'[1]Czech Republic'!E4</f>
        <v>-104</v>
      </c>
      <c r="D4" s="13">
        <f>F4-'[1]Czech Republic'!F4</f>
        <v>-33</v>
      </c>
      <c r="E4" s="122">
        <v>95</v>
      </c>
      <c r="F4" s="13">
        <v>106</v>
      </c>
      <c r="G4" s="13">
        <v>767</v>
      </c>
      <c r="H4" s="102">
        <v>296</v>
      </c>
      <c r="I4" s="13">
        <v>93</v>
      </c>
      <c r="J4" s="13">
        <v>399</v>
      </c>
      <c r="K4" s="13">
        <v>343</v>
      </c>
      <c r="L4" s="13">
        <v>44</v>
      </c>
      <c r="M4" s="13">
        <v>312</v>
      </c>
      <c r="N4" s="13">
        <v>166</v>
      </c>
      <c r="O4" s="13">
        <v>119</v>
      </c>
      <c r="P4" s="13">
        <v>371</v>
      </c>
      <c r="Q4" s="13">
        <v>659</v>
      </c>
      <c r="R4" s="13">
        <v>311</v>
      </c>
      <c r="S4" s="37">
        <v>495</v>
      </c>
    </row>
    <row r="5" spans="1:19" ht="12.75">
      <c r="A5" s="27" t="s">
        <v>3</v>
      </c>
      <c r="B5" s="35">
        <f t="shared" si="0"/>
        <v>0.18261394506489587</v>
      </c>
      <c r="C5" s="140">
        <f>E5-'[1]Czech Republic'!E5</f>
        <v>-1094</v>
      </c>
      <c r="D5" s="13">
        <f>F5-'[1]Czech Republic'!F5</f>
        <v>-1131</v>
      </c>
      <c r="E5" s="122">
        <v>7836</v>
      </c>
      <c r="F5" s="13">
        <v>6626</v>
      </c>
      <c r="G5" s="13">
        <v>8515</v>
      </c>
      <c r="H5" s="102">
        <v>6095</v>
      </c>
      <c r="I5" s="13">
        <v>4897</v>
      </c>
      <c r="J5" s="13">
        <v>6623</v>
      </c>
      <c r="K5" s="13">
        <v>5750</v>
      </c>
      <c r="L5" s="13">
        <v>5170</v>
      </c>
      <c r="M5" s="13">
        <v>2620</v>
      </c>
      <c r="N5" s="13">
        <v>3130</v>
      </c>
      <c r="O5" s="13">
        <v>2053</v>
      </c>
      <c r="P5" s="13">
        <v>3833</v>
      </c>
      <c r="Q5" s="13">
        <v>3601</v>
      </c>
      <c r="R5" s="13">
        <v>587</v>
      </c>
      <c r="S5" s="37">
        <v>1619</v>
      </c>
    </row>
    <row r="6" spans="1:19" ht="12.75">
      <c r="A6" s="27" t="s">
        <v>10</v>
      </c>
      <c r="B6" s="35">
        <f t="shared" si="0"/>
        <v>1.149345650500385</v>
      </c>
      <c r="C6" s="140">
        <f>E6-'[1]Czech Republic'!E6</f>
        <v>-2453</v>
      </c>
      <c r="D6" s="13">
        <f>F6-'[1]Czech Republic'!F6</f>
        <v>-1112</v>
      </c>
      <c r="E6" s="122">
        <v>2792</v>
      </c>
      <c r="F6" s="13">
        <v>1299</v>
      </c>
      <c r="G6" s="13">
        <v>6246</v>
      </c>
      <c r="H6" s="102">
        <v>2819</v>
      </c>
      <c r="I6" s="13">
        <v>1882</v>
      </c>
      <c r="J6" s="13">
        <v>5614</v>
      </c>
      <c r="K6" s="13">
        <v>3418</v>
      </c>
      <c r="L6" s="13">
        <v>4902</v>
      </c>
      <c r="M6" s="13">
        <v>5295</v>
      </c>
      <c r="N6" s="13">
        <v>1549</v>
      </c>
      <c r="O6" s="13">
        <v>3423</v>
      </c>
      <c r="P6" s="13">
        <v>9399</v>
      </c>
      <c r="Q6" s="13">
        <v>9943</v>
      </c>
      <c r="R6" s="13">
        <v>3697</v>
      </c>
      <c r="S6" s="37">
        <v>9035</v>
      </c>
    </row>
    <row r="7" spans="1:19" ht="12.75">
      <c r="A7" s="27" t="s">
        <v>27</v>
      </c>
      <c r="B7" s="35">
        <f t="shared" si="0"/>
        <v>0.9482948294829483</v>
      </c>
      <c r="C7" s="140">
        <f>E7-'[1]Czech Republic'!E7</f>
        <v>-2353</v>
      </c>
      <c r="D7" s="13">
        <f>F7-'[1]Czech Republic'!F7</f>
        <v>-934</v>
      </c>
      <c r="E7" s="122">
        <v>1771</v>
      </c>
      <c r="F7" s="13">
        <v>909</v>
      </c>
      <c r="G7" s="13">
        <v>3788</v>
      </c>
      <c r="H7" s="102">
        <v>786</v>
      </c>
      <c r="I7" s="13">
        <v>1457</v>
      </c>
      <c r="J7" s="13">
        <v>2265</v>
      </c>
      <c r="K7" s="13">
        <v>979</v>
      </c>
      <c r="L7" s="13">
        <v>2036</v>
      </c>
      <c r="M7" s="13">
        <v>812</v>
      </c>
      <c r="N7" s="13">
        <v>531</v>
      </c>
      <c r="O7" s="13">
        <v>447</v>
      </c>
      <c r="P7" s="13">
        <v>806</v>
      </c>
      <c r="Q7" s="13">
        <v>1292</v>
      </c>
      <c r="R7" s="13">
        <v>602</v>
      </c>
      <c r="S7" s="37">
        <v>1209</v>
      </c>
    </row>
    <row r="8" spans="1:19" ht="12.75">
      <c r="A8" s="27" t="s">
        <v>19</v>
      </c>
      <c r="B8" s="35">
        <f t="shared" si="0"/>
        <v>-0.07725947521865889</v>
      </c>
      <c r="C8" s="140">
        <f>E8-'[1]Czech Republic'!E8</f>
        <v>-594</v>
      </c>
      <c r="D8" s="13">
        <f>F8-'[1]Czech Republic'!F8</f>
        <v>-192</v>
      </c>
      <c r="E8" s="122">
        <v>633</v>
      </c>
      <c r="F8" s="13">
        <v>686</v>
      </c>
      <c r="G8" s="13">
        <v>1249</v>
      </c>
      <c r="H8" s="102">
        <v>506</v>
      </c>
      <c r="I8" s="13">
        <v>48</v>
      </c>
      <c r="J8" s="13">
        <v>413</v>
      </c>
      <c r="K8" s="13">
        <v>10</v>
      </c>
      <c r="L8" s="13">
        <v>66</v>
      </c>
      <c r="M8" s="13">
        <v>77</v>
      </c>
      <c r="N8" s="13">
        <v>22</v>
      </c>
      <c r="O8" s="13">
        <v>37</v>
      </c>
      <c r="P8" s="13">
        <v>23</v>
      </c>
      <c r="Q8" s="13">
        <v>7</v>
      </c>
      <c r="R8" s="13">
        <v>94</v>
      </c>
      <c r="S8" s="37">
        <v>0</v>
      </c>
    </row>
    <row r="9" spans="1:19" ht="12.75">
      <c r="A9" s="53" t="s">
        <v>89</v>
      </c>
      <c r="B9" s="35">
        <f t="shared" si="0"/>
        <v>3.362962962962963</v>
      </c>
      <c r="C9" s="140">
        <f>E9-'[1]Czech Republic'!E9</f>
        <v>-607</v>
      </c>
      <c r="D9" s="13">
        <f>F9-'[1]Czech Republic'!F9</f>
        <v>-167</v>
      </c>
      <c r="E9" s="122">
        <v>589</v>
      </c>
      <c r="F9" s="13">
        <v>135</v>
      </c>
      <c r="G9" s="13">
        <v>668</v>
      </c>
      <c r="H9" s="102">
        <v>127</v>
      </c>
      <c r="I9" s="13">
        <v>368</v>
      </c>
      <c r="J9" s="13">
        <v>867</v>
      </c>
      <c r="K9" s="13">
        <v>568</v>
      </c>
      <c r="L9" s="13">
        <v>81</v>
      </c>
      <c r="M9" s="13">
        <v>153</v>
      </c>
      <c r="N9" s="13">
        <v>166</v>
      </c>
      <c r="O9" s="13">
        <v>242</v>
      </c>
      <c r="P9" s="13">
        <v>81</v>
      </c>
      <c r="Q9" s="13">
        <v>139</v>
      </c>
      <c r="R9" s="13">
        <v>36</v>
      </c>
      <c r="S9" s="37">
        <v>360</v>
      </c>
    </row>
    <row r="10" spans="1:19" ht="12.75">
      <c r="A10" s="27" t="s">
        <v>35</v>
      </c>
      <c r="B10" s="35"/>
      <c r="C10" s="140">
        <f>E10-'[1]Czech Republic'!E10</f>
        <v>-176</v>
      </c>
      <c r="D10" s="13">
        <f>F10-'[1]Czech Republic'!F10</f>
        <v>-30</v>
      </c>
      <c r="E10" s="122">
        <v>0</v>
      </c>
      <c r="F10" s="13">
        <v>0</v>
      </c>
      <c r="G10" s="13">
        <v>12</v>
      </c>
      <c r="H10" s="102">
        <v>0</v>
      </c>
      <c r="I10" s="13">
        <v>0</v>
      </c>
      <c r="J10" s="13">
        <v>25</v>
      </c>
      <c r="K10" s="13">
        <v>2</v>
      </c>
      <c r="L10" s="13">
        <v>0</v>
      </c>
      <c r="M10" s="13">
        <v>8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37">
        <v>0</v>
      </c>
    </row>
    <row r="11" spans="1:19" ht="13.5" thickBot="1">
      <c r="A11" s="28" t="s">
        <v>59</v>
      </c>
      <c r="B11" s="35">
        <f t="shared" si="0"/>
        <v>0.1023541453428864</v>
      </c>
      <c r="C11" s="140">
        <f>E11-'[1]Czech Republic'!E11</f>
        <v>-1777</v>
      </c>
      <c r="D11" s="13">
        <f>F11-'[1]Czech Republic'!F11</f>
        <v>-166</v>
      </c>
      <c r="E11" s="122">
        <v>1077</v>
      </c>
      <c r="F11" s="13">
        <v>977</v>
      </c>
      <c r="G11" s="13">
        <v>2247</v>
      </c>
      <c r="H11" s="102">
        <v>889</v>
      </c>
      <c r="I11" s="13">
        <v>522</v>
      </c>
      <c r="J11" s="94">
        <v>1893</v>
      </c>
      <c r="K11" s="94">
        <v>615</v>
      </c>
      <c r="L11" s="94">
        <v>1045</v>
      </c>
      <c r="M11" s="94">
        <v>507</v>
      </c>
      <c r="N11" s="94">
        <v>366</v>
      </c>
      <c r="O11" s="94">
        <v>229</v>
      </c>
      <c r="P11" s="94">
        <v>475</v>
      </c>
      <c r="Q11" s="94">
        <v>408</v>
      </c>
      <c r="R11" s="13">
        <v>426</v>
      </c>
      <c r="S11" s="37">
        <v>1024</v>
      </c>
    </row>
    <row r="12" spans="1:19" ht="13.5" thickBot="1">
      <c r="A12" s="147" t="s">
        <v>23</v>
      </c>
      <c r="B12" s="156">
        <f t="shared" si="0"/>
        <v>0.41141563207620835</v>
      </c>
      <c r="C12" s="167">
        <f>E12-'[1]Czech Republic'!E12</f>
        <v>-12294</v>
      </c>
      <c r="D12" s="103">
        <f>F12-'[1]Czech Republic'!F12</f>
        <v>-5326</v>
      </c>
      <c r="E12" s="160">
        <f>SUM(E2:E11)</f>
        <v>18076</v>
      </c>
      <c r="F12" s="103">
        <f>SUM(F2:F11)</f>
        <v>12807</v>
      </c>
      <c r="G12" s="103">
        <v>26740</v>
      </c>
      <c r="H12" s="130">
        <v>12952</v>
      </c>
      <c r="I12" s="130">
        <f>SUM(I2:I11)</f>
        <v>10518</v>
      </c>
      <c r="J12" s="103">
        <f>SUM(J3:J11)</f>
        <v>20007</v>
      </c>
      <c r="K12" s="103">
        <f>SUM(K3:K11)</f>
        <v>12168</v>
      </c>
      <c r="L12" s="103">
        <f>SUM(L3:L11)</f>
        <v>13775</v>
      </c>
      <c r="M12" s="103">
        <f>SUM(M3:M11)</f>
        <v>9819</v>
      </c>
      <c r="N12" s="103">
        <f aca="true" t="shared" si="1" ref="N12:S12">SUM(N3:N11)</f>
        <v>5977</v>
      </c>
      <c r="O12" s="103">
        <f t="shared" si="1"/>
        <v>6570</v>
      </c>
      <c r="P12" s="103">
        <f t="shared" si="1"/>
        <v>14995</v>
      </c>
      <c r="Q12" s="103">
        <f t="shared" si="1"/>
        <v>16065</v>
      </c>
      <c r="R12" s="103">
        <f t="shared" si="1"/>
        <v>5802</v>
      </c>
      <c r="S12" s="148">
        <f t="shared" si="1"/>
        <v>13783</v>
      </c>
    </row>
    <row r="13" spans="2:17" s="9" customFormat="1" ht="12.75">
      <c r="B13" s="44"/>
      <c r="C13" s="44"/>
      <c r="D13" s="44"/>
      <c r="E13" s="44"/>
      <c r="F13" s="44"/>
      <c r="G13" s="44"/>
      <c r="H13" s="96"/>
      <c r="I13" s="96"/>
      <c r="J13" s="12"/>
      <c r="K13" s="12"/>
      <c r="L13" s="12"/>
      <c r="M13" s="12"/>
      <c r="N13" s="12"/>
      <c r="O13" s="12"/>
      <c r="P13" s="12"/>
      <c r="Q13" s="12"/>
    </row>
    <row r="14" ht="13.5" thickBot="1">
      <c r="I14" s="98"/>
    </row>
    <row r="15" spans="1:19" ht="13.5" thickBot="1">
      <c r="A15" s="62" t="s">
        <v>25</v>
      </c>
      <c r="B15" s="32" t="s">
        <v>178</v>
      </c>
      <c r="C15" s="162" t="s">
        <v>177</v>
      </c>
      <c r="D15" s="93" t="s">
        <v>171</v>
      </c>
      <c r="E15" s="165">
        <v>44287</v>
      </c>
      <c r="F15" s="132">
        <v>43922</v>
      </c>
      <c r="G15" s="132">
        <v>43556</v>
      </c>
      <c r="H15" s="132">
        <v>43191</v>
      </c>
      <c r="I15" s="33">
        <v>42826</v>
      </c>
      <c r="J15" s="33">
        <v>42461</v>
      </c>
      <c r="K15" s="33">
        <v>42095</v>
      </c>
      <c r="L15" s="33">
        <v>41730</v>
      </c>
      <c r="M15" s="33">
        <v>41365</v>
      </c>
      <c r="N15" s="33">
        <v>41000</v>
      </c>
      <c r="O15" s="33">
        <v>40634</v>
      </c>
      <c r="P15" s="33">
        <v>40269</v>
      </c>
      <c r="Q15" s="33">
        <v>39904</v>
      </c>
      <c r="R15" s="33">
        <v>39539</v>
      </c>
      <c r="S15" s="34">
        <v>39173</v>
      </c>
    </row>
    <row r="16" spans="1:19" ht="12.75">
      <c r="A16" s="64" t="s">
        <v>7</v>
      </c>
      <c r="B16" s="65">
        <f aca="true" t="shared" si="2" ref="B16:B21">(E16-F16)/F16</f>
        <v>0</v>
      </c>
      <c r="C16" s="140">
        <f>E16-'[1]Czech Republic'!E16</f>
        <v>-319</v>
      </c>
      <c r="D16" s="86">
        <f>F16-'[1]Czech Republic'!F16</f>
        <v>-495</v>
      </c>
      <c r="E16" s="163">
        <v>715</v>
      </c>
      <c r="F16" s="86">
        <v>715</v>
      </c>
      <c r="G16" s="86">
        <v>1085</v>
      </c>
      <c r="H16" s="86">
        <v>845</v>
      </c>
      <c r="I16" s="86">
        <v>515</v>
      </c>
      <c r="J16" s="86">
        <v>635</v>
      </c>
      <c r="K16" s="86">
        <v>0</v>
      </c>
      <c r="L16" s="86">
        <v>905</v>
      </c>
      <c r="M16" s="86">
        <v>0</v>
      </c>
      <c r="N16" s="86">
        <v>16</v>
      </c>
      <c r="O16" s="86">
        <v>1</v>
      </c>
      <c r="P16" s="86">
        <v>0</v>
      </c>
      <c r="Q16" s="86">
        <v>0</v>
      </c>
      <c r="R16" s="86">
        <v>0</v>
      </c>
      <c r="S16" s="88">
        <v>0</v>
      </c>
    </row>
    <row r="17" spans="1:19" ht="12.75">
      <c r="A17" s="64" t="s">
        <v>42</v>
      </c>
      <c r="B17" s="65"/>
      <c r="C17" s="140">
        <f>E17-'[1]Czech Republic'!E17</f>
        <v>0</v>
      </c>
      <c r="D17" s="86">
        <f>F17-'[1]Czech Republic'!F17</f>
        <v>0</v>
      </c>
      <c r="E17" s="163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8">
        <v>0</v>
      </c>
    </row>
    <row r="18" spans="1:19" ht="12.75">
      <c r="A18" s="64" t="s">
        <v>154</v>
      </c>
      <c r="B18" s="65">
        <f t="shared" si="2"/>
        <v>64.5</v>
      </c>
      <c r="C18" s="140">
        <f>E18-'[1]Czech Republic'!E18</f>
        <v>-28</v>
      </c>
      <c r="D18" s="86">
        <f>F18-'[1]Czech Republic'!F18</f>
        <v>-73</v>
      </c>
      <c r="E18" s="163">
        <v>131</v>
      </c>
      <c r="F18" s="86">
        <v>2</v>
      </c>
      <c r="G18" s="86">
        <v>19</v>
      </c>
      <c r="H18" s="86">
        <v>0</v>
      </c>
      <c r="I18" s="86">
        <v>3</v>
      </c>
      <c r="J18" s="86">
        <v>53</v>
      </c>
      <c r="K18" s="86">
        <v>3</v>
      </c>
      <c r="L18" s="86">
        <v>11</v>
      </c>
      <c r="M18" s="86">
        <v>0</v>
      </c>
      <c r="N18" s="86"/>
      <c r="O18" s="86"/>
      <c r="P18" s="86"/>
      <c r="Q18" s="86"/>
      <c r="R18" s="86"/>
      <c r="S18" s="88"/>
    </row>
    <row r="19" spans="1:19" ht="12.75">
      <c r="A19" s="64" t="s">
        <v>155</v>
      </c>
      <c r="B19" s="65"/>
      <c r="C19" s="140">
        <f>E19-'[1]Czech Republic'!E19</f>
        <v>-249</v>
      </c>
      <c r="D19" s="86">
        <f>F19-'[1]Czech Republic'!F19</f>
        <v>0</v>
      </c>
      <c r="E19" s="163">
        <v>50</v>
      </c>
      <c r="F19" s="86">
        <v>0</v>
      </c>
      <c r="G19" s="86">
        <v>20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/>
      <c r="O19" s="86"/>
      <c r="P19" s="86"/>
      <c r="Q19" s="86"/>
      <c r="R19" s="86"/>
      <c r="S19" s="88"/>
    </row>
    <row r="20" spans="1:20" ht="13.5" thickBot="1">
      <c r="A20" s="64" t="s">
        <v>6</v>
      </c>
      <c r="B20" s="65">
        <f t="shared" si="2"/>
        <v>2</v>
      </c>
      <c r="C20" s="140">
        <f>E20-'[1]Czech Republic'!E20</f>
        <v>-27</v>
      </c>
      <c r="D20" s="86">
        <f>F20-'[1]Czech Republic'!F20</f>
        <v>-1</v>
      </c>
      <c r="E20" s="163">
        <v>15</v>
      </c>
      <c r="F20" s="86">
        <v>5</v>
      </c>
      <c r="G20" s="86">
        <v>9</v>
      </c>
      <c r="H20" s="86">
        <v>0</v>
      </c>
      <c r="I20" s="86">
        <v>0</v>
      </c>
      <c r="J20" s="86">
        <v>18</v>
      </c>
      <c r="K20" s="86">
        <v>0</v>
      </c>
      <c r="L20" s="86">
        <v>1</v>
      </c>
      <c r="M20" s="86">
        <v>0</v>
      </c>
      <c r="N20" s="86">
        <v>0</v>
      </c>
      <c r="O20" s="86">
        <v>17</v>
      </c>
      <c r="P20" s="86">
        <v>0</v>
      </c>
      <c r="Q20" s="86">
        <v>0</v>
      </c>
      <c r="R20" s="86">
        <v>0</v>
      </c>
      <c r="S20" s="88">
        <v>0</v>
      </c>
      <c r="T20" s="1"/>
    </row>
    <row r="21" spans="1:20" ht="13.5" thickBot="1">
      <c r="A21" s="62" t="s">
        <v>92</v>
      </c>
      <c r="B21" s="164">
        <f t="shared" si="2"/>
        <v>0.26177285318559557</v>
      </c>
      <c r="C21" s="167">
        <f>E21-'[1]Czech Republic'!E21</f>
        <v>-623</v>
      </c>
      <c r="D21" s="99">
        <f>F21-'[1]Czech Republic'!F21</f>
        <v>-569</v>
      </c>
      <c r="E21" s="73">
        <f>SUM(E16:E20)</f>
        <v>911</v>
      </c>
      <c r="F21" s="99">
        <f>SUM(F16:F20)</f>
        <v>722</v>
      </c>
      <c r="G21" s="99">
        <v>1133</v>
      </c>
      <c r="H21" s="99">
        <f aca="true" t="shared" si="3" ref="H21:M21">SUM(H16:H20)</f>
        <v>845</v>
      </c>
      <c r="I21" s="99">
        <f t="shared" si="3"/>
        <v>518</v>
      </c>
      <c r="J21" s="99">
        <f t="shared" si="3"/>
        <v>706</v>
      </c>
      <c r="K21" s="99">
        <f t="shared" si="3"/>
        <v>3</v>
      </c>
      <c r="L21" s="99">
        <f t="shared" si="3"/>
        <v>917</v>
      </c>
      <c r="M21" s="99">
        <f t="shared" si="3"/>
        <v>0</v>
      </c>
      <c r="N21" s="99">
        <f aca="true" t="shared" si="4" ref="N21:S21">SUM(N16:N20)</f>
        <v>16</v>
      </c>
      <c r="O21" s="99">
        <f t="shared" si="4"/>
        <v>18</v>
      </c>
      <c r="P21" s="99">
        <f t="shared" si="4"/>
        <v>0</v>
      </c>
      <c r="Q21" s="99">
        <f t="shared" si="4"/>
        <v>0</v>
      </c>
      <c r="R21" s="100">
        <f t="shared" si="4"/>
        <v>0</v>
      </c>
      <c r="S21" s="101">
        <f t="shared" si="4"/>
        <v>0</v>
      </c>
      <c r="T21" s="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125" zoomScaleNormal="125" zoomScalePageLayoutView="0" workbookViewId="0" topLeftCell="A1">
      <selection activeCell="E25" sqref="E25"/>
    </sheetView>
  </sheetViews>
  <sheetFormatPr defaultColWidth="8.8515625" defaultRowHeight="12.75"/>
  <cols>
    <col min="1" max="1" width="24.8515625" style="0" customWidth="1"/>
    <col min="2" max="2" width="10.8515625" style="0" customWidth="1"/>
    <col min="3" max="3" width="11.7109375" style="0" bestFit="1" customWidth="1"/>
    <col min="4" max="4" width="11.7109375" style="9" bestFit="1" customWidth="1"/>
    <col min="5" max="6" width="11.7109375" style="9" customWidth="1"/>
    <col min="7" max="7" width="11.7109375" style="0" customWidth="1"/>
    <col min="8" max="8" width="11.28125" style="9" customWidth="1"/>
    <col min="9" max="9" width="10.8515625" style="0" customWidth="1"/>
    <col min="10" max="17" width="10.140625" style="9" bestFit="1" customWidth="1"/>
    <col min="18" max="19" width="10.140625" style="0" bestFit="1" customWidth="1"/>
  </cols>
  <sheetData>
    <row r="1" spans="1:19" ht="13.5" thickBot="1">
      <c r="A1" s="157" t="s">
        <v>24</v>
      </c>
      <c r="B1" s="32" t="s">
        <v>178</v>
      </c>
      <c r="C1" s="162" t="s">
        <v>177</v>
      </c>
      <c r="D1" s="93" t="s">
        <v>171</v>
      </c>
      <c r="E1" s="165">
        <v>44287</v>
      </c>
      <c r="F1" s="132">
        <v>43922</v>
      </c>
      <c r="G1" s="132">
        <v>43556</v>
      </c>
      <c r="H1" s="132">
        <v>43191</v>
      </c>
      <c r="I1" s="33">
        <v>42826</v>
      </c>
      <c r="J1" s="33">
        <v>42461</v>
      </c>
      <c r="K1" s="33">
        <v>42095</v>
      </c>
      <c r="L1" s="33">
        <v>41730</v>
      </c>
      <c r="M1" s="33">
        <v>41365</v>
      </c>
      <c r="N1" s="33">
        <v>41000</v>
      </c>
      <c r="O1" s="33">
        <v>40634</v>
      </c>
      <c r="P1" s="33">
        <v>40269</v>
      </c>
      <c r="Q1" s="33">
        <v>39904</v>
      </c>
      <c r="R1" s="33">
        <v>39539</v>
      </c>
      <c r="S1" s="34">
        <v>39173</v>
      </c>
    </row>
    <row r="2" spans="1:19" ht="12.75">
      <c r="A2" s="53" t="s">
        <v>4</v>
      </c>
      <c r="B2" s="58"/>
      <c r="C2" s="141">
        <f>E2-'[1]Denmark'!E2</f>
        <v>0</v>
      </c>
      <c r="D2" s="81">
        <f>F2-'[1]Denmark'!F2</f>
        <v>0</v>
      </c>
      <c r="E2" s="159"/>
      <c r="F2" s="81"/>
      <c r="G2" s="81"/>
      <c r="H2" s="81"/>
      <c r="I2" s="81"/>
      <c r="J2" s="81"/>
      <c r="K2" s="81"/>
      <c r="L2" s="81"/>
      <c r="M2" s="81"/>
      <c r="N2" s="81"/>
      <c r="O2" s="81"/>
      <c r="P2" s="81">
        <v>0</v>
      </c>
      <c r="Q2" s="81">
        <v>0</v>
      </c>
      <c r="R2" s="51"/>
      <c r="S2" s="75"/>
    </row>
    <row r="3" spans="1:19" ht="12.75">
      <c r="A3" s="53" t="s">
        <v>97</v>
      </c>
      <c r="B3" s="58">
        <f>(E3-F3)/F3</f>
        <v>-1</v>
      </c>
      <c r="C3" s="141">
        <f>E3-'[1]Denmark'!E3</f>
        <v>0</v>
      </c>
      <c r="D3" s="81">
        <f>F3-'[1]Denmark'!F3</f>
        <v>-122</v>
      </c>
      <c r="E3" s="159"/>
      <c r="F3" s="86">
        <v>148</v>
      </c>
      <c r="G3" s="81">
        <v>0</v>
      </c>
      <c r="H3" s="81"/>
      <c r="I3" s="81">
        <v>7</v>
      </c>
      <c r="J3" s="81">
        <v>195</v>
      </c>
      <c r="K3" s="81">
        <v>0</v>
      </c>
      <c r="L3" s="81">
        <v>3</v>
      </c>
      <c r="M3" s="81">
        <v>3</v>
      </c>
      <c r="N3" s="81">
        <v>3</v>
      </c>
      <c r="O3" s="81">
        <v>15</v>
      </c>
      <c r="P3" s="81">
        <v>52</v>
      </c>
      <c r="Q3" s="81">
        <v>2</v>
      </c>
      <c r="R3" s="51"/>
      <c r="S3" s="75"/>
    </row>
    <row r="4" spans="1:19" ht="12.75">
      <c r="A4" s="53" t="s">
        <v>5</v>
      </c>
      <c r="B4" s="58"/>
      <c r="C4" s="141">
        <f>E4-'[1]Denmark'!E4</f>
        <v>0</v>
      </c>
      <c r="D4" s="81">
        <f>F4-'[1]Denmark'!F4</f>
        <v>0</v>
      </c>
      <c r="E4" s="159"/>
      <c r="F4" s="81"/>
      <c r="G4" s="81"/>
      <c r="H4" s="81"/>
      <c r="I4" s="81"/>
      <c r="J4" s="81"/>
      <c r="K4" s="81"/>
      <c r="L4" s="81"/>
      <c r="M4" s="81"/>
      <c r="N4" s="81"/>
      <c r="O4" s="81"/>
      <c r="P4" s="81">
        <v>0</v>
      </c>
      <c r="Q4" s="81">
        <v>0</v>
      </c>
      <c r="R4" s="51"/>
      <c r="S4" s="75"/>
    </row>
    <row r="5" spans="1:19" ht="12.75">
      <c r="A5" s="53" t="s">
        <v>2</v>
      </c>
      <c r="B5" s="58">
        <f>(E5-F5)/F5</f>
        <v>3.04</v>
      </c>
      <c r="C5" s="141">
        <f>E5-'[1]Denmark'!E5</f>
        <v>-916</v>
      </c>
      <c r="D5" s="81">
        <f>F5-'[1]Denmark'!F5</f>
        <v>-664</v>
      </c>
      <c r="E5" s="159">
        <v>202</v>
      </c>
      <c r="F5" s="81">
        <v>50</v>
      </c>
      <c r="G5" s="81">
        <v>907</v>
      </c>
      <c r="H5" s="81">
        <v>379</v>
      </c>
      <c r="I5" s="81">
        <v>647</v>
      </c>
      <c r="J5" s="81">
        <v>716</v>
      </c>
      <c r="K5" s="81">
        <v>185</v>
      </c>
      <c r="L5" s="81">
        <v>35</v>
      </c>
      <c r="M5" s="81">
        <v>3</v>
      </c>
      <c r="N5" s="81">
        <v>35</v>
      </c>
      <c r="O5" s="81"/>
      <c r="P5" s="81">
        <v>279</v>
      </c>
      <c r="Q5" s="81">
        <v>307</v>
      </c>
      <c r="R5" s="51"/>
      <c r="S5" s="75"/>
    </row>
    <row r="6" spans="1:19" ht="12.75">
      <c r="A6" s="53" t="s">
        <v>12</v>
      </c>
      <c r="B6" s="58"/>
      <c r="C6" s="141">
        <f>E6-'[1]Denmark'!E6</f>
        <v>0</v>
      </c>
      <c r="D6" s="81">
        <f>F6-'[1]Denmark'!F6</f>
        <v>0</v>
      </c>
      <c r="E6" s="159"/>
      <c r="F6" s="81"/>
      <c r="G6" s="81">
        <v>8</v>
      </c>
      <c r="H6" s="81"/>
      <c r="I6" s="81">
        <v>3</v>
      </c>
      <c r="J6" s="81"/>
      <c r="K6" s="81"/>
      <c r="L6" s="81"/>
      <c r="M6" s="81"/>
      <c r="N6" s="81"/>
      <c r="O6" s="81"/>
      <c r="P6" s="81">
        <v>0</v>
      </c>
      <c r="Q6" s="81">
        <v>0</v>
      </c>
      <c r="R6" s="51"/>
      <c r="S6" s="75"/>
    </row>
    <row r="7" spans="1:19" ht="12.75">
      <c r="A7" s="53" t="s">
        <v>9</v>
      </c>
      <c r="B7" s="58"/>
      <c r="C7" s="141">
        <f>E7-'[1]Denmark'!E7</f>
        <v>-8</v>
      </c>
      <c r="D7" s="81">
        <f>F7-'[1]Denmark'!F7</f>
        <v>-25</v>
      </c>
      <c r="E7" s="159"/>
      <c r="F7" s="81"/>
      <c r="G7" s="81">
        <v>135</v>
      </c>
      <c r="H7" s="81"/>
      <c r="I7" s="81">
        <v>53</v>
      </c>
      <c r="J7" s="81">
        <v>40</v>
      </c>
      <c r="K7" s="81"/>
      <c r="L7" s="81"/>
      <c r="M7" s="81"/>
      <c r="N7" s="81"/>
      <c r="O7" s="81"/>
      <c r="P7" s="81">
        <v>0</v>
      </c>
      <c r="Q7" s="81">
        <v>0</v>
      </c>
      <c r="R7" s="51"/>
      <c r="S7" s="75"/>
    </row>
    <row r="8" spans="1:19" ht="12.75">
      <c r="A8" s="53" t="s">
        <v>14</v>
      </c>
      <c r="B8" s="58"/>
      <c r="C8" s="141">
        <f>E8-'[1]Denmark'!E8</f>
        <v>0</v>
      </c>
      <c r="D8" s="81">
        <f>F8-'[1]Denmark'!F8</f>
        <v>0</v>
      </c>
      <c r="E8" s="159"/>
      <c r="F8" s="81"/>
      <c r="G8" s="81"/>
      <c r="H8" s="81"/>
      <c r="I8" s="81"/>
      <c r="J8" s="81"/>
      <c r="K8" s="81"/>
      <c r="L8" s="81"/>
      <c r="M8" s="81"/>
      <c r="N8" s="81"/>
      <c r="O8" s="81"/>
      <c r="P8" s="81">
        <v>4</v>
      </c>
      <c r="Q8" s="81">
        <v>105</v>
      </c>
      <c r="R8" s="51"/>
      <c r="S8" s="75"/>
    </row>
    <row r="9" spans="1:19" ht="12.75">
      <c r="A9" s="158" t="s">
        <v>173</v>
      </c>
      <c r="B9" s="161"/>
      <c r="C9" s="166">
        <f>E9-'[1]Denmark'!E9</f>
        <v>0</v>
      </c>
      <c r="D9" s="81">
        <f>F9-'[1]Denmark'!F9</f>
        <v>0</v>
      </c>
      <c r="E9" s="159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51"/>
      <c r="S9" s="75"/>
    </row>
    <row r="10" spans="1:19" ht="12.75">
      <c r="A10" s="53" t="s">
        <v>15</v>
      </c>
      <c r="B10" s="58"/>
      <c r="C10" s="141">
        <f>E10-'[1]Denmark'!E10</f>
        <v>0</v>
      </c>
      <c r="D10" s="81">
        <f>F10-'[1]Denmark'!F10</f>
        <v>0</v>
      </c>
      <c r="E10" s="159"/>
      <c r="F10" s="81"/>
      <c r="G10" s="81">
        <v>35</v>
      </c>
      <c r="H10" s="81"/>
      <c r="I10" s="81"/>
      <c r="J10" s="81"/>
      <c r="K10" s="81"/>
      <c r="L10" s="81"/>
      <c r="M10" s="81"/>
      <c r="N10" s="81"/>
      <c r="O10" s="81"/>
      <c r="P10" s="81">
        <v>0</v>
      </c>
      <c r="Q10" s="81">
        <v>0</v>
      </c>
      <c r="R10" s="51"/>
      <c r="S10" s="75"/>
    </row>
    <row r="11" spans="1:20" ht="12.75">
      <c r="A11" s="53" t="s">
        <v>10</v>
      </c>
      <c r="B11" s="58"/>
      <c r="C11" s="141">
        <f>E11-'[1]Denmark'!E11</f>
        <v>0</v>
      </c>
      <c r="D11" s="81">
        <f>F11-'[1]Denmark'!F11</f>
        <v>-7</v>
      </c>
      <c r="E11" s="159"/>
      <c r="F11" s="81"/>
      <c r="G11" s="81">
        <v>14</v>
      </c>
      <c r="H11" s="81"/>
      <c r="I11" s="81"/>
      <c r="J11" s="81"/>
      <c r="K11" s="81"/>
      <c r="L11" s="81"/>
      <c r="M11" s="81"/>
      <c r="N11" s="81"/>
      <c r="O11" s="81">
        <v>5</v>
      </c>
      <c r="P11" s="81">
        <v>7</v>
      </c>
      <c r="Q11" s="81">
        <v>20</v>
      </c>
      <c r="R11" s="51"/>
      <c r="S11" s="75"/>
      <c r="T11" s="1"/>
    </row>
    <row r="12" spans="1:20" ht="12.75">
      <c r="A12" s="53" t="s">
        <v>152</v>
      </c>
      <c r="B12" s="58"/>
      <c r="C12" s="141">
        <f>E12-'[1]Denmark'!E12</f>
        <v>0</v>
      </c>
      <c r="D12" s="81">
        <f>F12-'[1]Denmark'!F12</f>
        <v>0</v>
      </c>
      <c r="E12" s="159"/>
      <c r="F12" s="81"/>
      <c r="G12" s="81">
        <v>0</v>
      </c>
      <c r="H12" s="81"/>
      <c r="I12" s="81"/>
      <c r="J12" s="81">
        <v>0</v>
      </c>
      <c r="K12" s="81"/>
      <c r="L12" s="81"/>
      <c r="M12" s="81"/>
      <c r="N12" s="81"/>
      <c r="O12" s="81"/>
      <c r="P12" s="81">
        <v>0</v>
      </c>
      <c r="Q12" s="81">
        <v>0</v>
      </c>
      <c r="R12" s="51"/>
      <c r="S12" s="75"/>
      <c r="T12" s="1"/>
    </row>
    <row r="13" spans="1:20" ht="12.75">
      <c r="A13" s="53" t="s">
        <v>27</v>
      </c>
      <c r="B13" s="58"/>
      <c r="C13" s="141">
        <f>E13-'[1]Denmark'!E13</f>
        <v>-5</v>
      </c>
      <c r="D13" s="81">
        <f>F13-'[1]Denmark'!F13</f>
        <v>0</v>
      </c>
      <c r="E13" s="159"/>
      <c r="F13" s="81"/>
      <c r="G13" s="81">
        <v>51</v>
      </c>
      <c r="H13" s="81"/>
      <c r="I13" s="81">
        <v>15</v>
      </c>
      <c r="J13" s="81">
        <v>19</v>
      </c>
      <c r="K13" s="81">
        <v>45</v>
      </c>
      <c r="L13" s="81"/>
      <c r="M13" s="81">
        <v>35</v>
      </c>
      <c r="N13" s="81"/>
      <c r="O13" s="81"/>
      <c r="P13" s="81">
        <v>0</v>
      </c>
      <c r="Q13" s="81">
        <v>0</v>
      </c>
      <c r="R13" s="51">
        <v>326</v>
      </c>
      <c r="S13" s="75"/>
      <c r="T13" s="1"/>
    </row>
    <row r="14" spans="1:19" ht="12.75">
      <c r="A14" s="53" t="s">
        <v>26</v>
      </c>
      <c r="B14" s="58">
        <f>(E14-F14)/F14</f>
        <v>7.764705882352941</v>
      </c>
      <c r="C14" s="141">
        <f>E14-'[1]Denmark'!E14</f>
        <v>-345</v>
      </c>
      <c r="D14" s="81">
        <f>F14-'[1]Denmark'!F14</f>
        <v>-545</v>
      </c>
      <c r="E14" s="159">
        <v>745</v>
      </c>
      <c r="F14" s="81">
        <v>85</v>
      </c>
      <c r="G14" s="81">
        <v>1733</v>
      </c>
      <c r="H14" s="81">
        <v>577</v>
      </c>
      <c r="I14" s="81">
        <v>1704</v>
      </c>
      <c r="J14" s="81">
        <v>1762</v>
      </c>
      <c r="K14" s="81">
        <v>950</v>
      </c>
      <c r="L14" s="81">
        <v>669</v>
      </c>
      <c r="M14" s="81">
        <v>303</v>
      </c>
      <c r="N14" s="81">
        <v>669</v>
      </c>
      <c r="O14" s="81">
        <v>262</v>
      </c>
      <c r="P14" s="81">
        <v>480</v>
      </c>
      <c r="Q14" s="81">
        <v>1159</v>
      </c>
      <c r="R14" s="51"/>
      <c r="S14" s="75"/>
    </row>
    <row r="15" spans="1:19" ht="12.75">
      <c r="A15" s="53" t="s">
        <v>98</v>
      </c>
      <c r="B15" s="58"/>
      <c r="C15" s="141">
        <f>E15-'[1]Denmark'!E15</f>
        <v>0</v>
      </c>
      <c r="D15" s="81">
        <f>F15-'[1]Denmark'!F15</f>
        <v>0</v>
      </c>
      <c r="E15" s="159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>
        <v>0</v>
      </c>
      <c r="Q15" s="81">
        <v>0</v>
      </c>
      <c r="R15" s="51"/>
      <c r="S15" s="75"/>
    </row>
    <row r="16" spans="1:19" ht="12.75">
      <c r="A16" s="53" t="s">
        <v>13</v>
      </c>
      <c r="B16" s="58"/>
      <c r="C16" s="141">
        <f>E16-'[1]Denmark'!E16</f>
        <v>0</v>
      </c>
      <c r="D16" s="81">
        <f>F16-'[1]Denmark'!F16</f>
        <v>0</v>
      </c>
      <c r="E16" s="159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>
        <v>31</v>
      </c>
      <c r="Q16" s="81">
        <v>21</v>
      </c>
      <c r="R16" s="51"/>
      <c r="S16" s="75"/>
    </row>
    <row r="17" spans="1:19" ht="12.75">
      <c r="A17" s="53" t="s">
        <v>35</v>
      </c>
      <c r="B17" s="58"/>
      <c r="C17" s="141">
        <f>E17-'[1]Denmark'!E17</f>
        <v>0</v>
      </c>
      <c r="D17" s="81">
        <f>F17-'[1]Denmark'!F17</f>
        <v>0</v>
      </c>
      <c r="E17" s="159"/>
      <c r="F17" s="81"/>
      <c r="G17" s="81">
        <v>0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51"/>
      <c r="S17" s="75"/>
    </row>
    <row r="18" spans="1:19" ht="12.75">
      <c r="A18" s="53" t="s">
        <v>87</v>
      </c>
      <c r="B18" s="58">
        <f>(E18-F18)/F18</f>
        <v>1.0044052863436124</v>
      </c>
      <c r="C18" s="141">
        <f>E18-'[1]Denmark'!E18</f>
        <v>-308</v>
      </c>
      <c r="D18" s="81">
        <f>F18-'[1]Denmark'!F18</f>
        <v>-682</v>
      </c>
      <c r="E18" s="159">
        <v>455</v>
      </c>
      <c r="F18" s="81">
        <v>227</v>
      </c>
      <c r="G18" s="81">
        <v>1510</v>
      </c>
      <c r="H18" s="81"/>
      <c r="I18" s="81">
        <v>888</v>
      </c>
      <c r="J18" s="81">
        <v>886</v>
      </c>
      <c r="K18" s="81">
        <v>718</v>
      </c>
      <c r="L18" s="81">
        <v>484</v>
      </c>
      <c r="M18" s="81">
        <v>120</v>
      </c>
      <c r="N18" s="81">
        <v>484</v>
      </c>
      <c r="O18" s="81">
        <v>170</v>
      </c>
      <c r="P18" s="81">
        <v>126</v>
      </c>
      <c r="Q18" s="81">
        <v>12</v>
      </c>
      <c r="R18" s="51"/>
      <c r="S18" s="75"/>
    </row>
    <row r="19" spans="1:19" ht="13.5" thickBot="1">
      <c r="A19" s="53" t="s">
        <v>6</v>
      </c>
      <c r="B19" s="58">
        <f>(E19-F19)/F19</f>
        <v>-1</v>
      </c>
      <c r="C19" s="141">
        <f>E19-'[1]Denmark'!E19</f>
        <v>0</v>
      </c>
      <c r="D19" s="81">
        <f>F19-'[1]Denmark'!F19</f>
        <v>48</v>
      </c>
      <c r="E19" s="159">
        <v>0</v>
      </c>
      <c r="F19" s="81">
        <v>114</v>
      </c>
      <c r="G19" s="81">
        <v>58</v>
      </c>
      <c r="H19" s="81">
        <v>518</v>
      </c>
      <c r="I19" s="81">
        <v>57</v>
      </c>
      <c r="J19" s="81">
        <v>32</v>
      </c>
      <c r="K19" s="81">
        <v>28</v>
      </c>
      <c r="L19" s="81">
        <v>5</v>
      </c>
      <c r="M19" s="81">
        <v>9</v>
      </c>
      <c r="N19" s="81">
        <v>5</v>
      </c>
      <c r="O19" s="81">
        <v>14</v>
      </c>
      <c r="P19" s="81">
        <v>368</v>
      </c>
      <c r="Q19" s="81">
        <v>77</v>
      </c>
      <c r="R19" s="51">
        <v>12</v>
      </c>
      <c r="S19" s="75"/>
    </row>
    <row r="20" spans="1:19" ht="13.5" thickBot="1">
      <c r="A20" s="52" t="s">
        <v>92</v>
      </c>
      <c r="B20" s="168">
        <f>(E20-F20)/F20</f>
        <v>1.2467948717948718</v>
      </c>
      <c r="C20" s="167">
        <f>E20-'[1]Denmark'!E20</f>
        <v>-1582</v>
      </c>
      <c r="D20" s="103">
        <f>F20-'[1]Denmark'!F20</f>
        <v>-1997</v>
      </c>
      <c r="E20" s="160">
        <f>SUM(E2:E19)</f>
        <v>1402</v>
      </c>
      <c r="F20" s="103">
        <f>SUM(F2:F19)</f>
        <v>624</v>
      </c>
      <c r="G20" s="103">
        <f>SUM(G2:G19)</f>
        <v>4451</v>
      </c>
      <c r="H20" s="103">
        <v>1474</v>
      </c>
      <c r="I20" s="103">
        <f>SUM(I2:I19)</f>
        <v>3374</v>
      </c>
      <c r="J20" s="103">
        <f>SUM(J2:J19)</f>
        <v>3650</v>
      </c>
      <c r="K20" s="103">
        <f>SUM(K2:K19)</f>
        <v>1926</v>
      </c>
      <c r="L20" s="103">
        <f>SUM(L2:L19)</f>
        <v>1196</v>
      </c>
      <c r="M20" s="103">
        <f>SUM(M2:M19)</f>
        <v>473</v>
      </c>
      <c r="N20" s="103">
        <f aca="true" t="shared" si="0" ref="N20:S20">SUM(N2:N19)</f>
        <v>1196</v>
      </c>
      <c r="O20" s="103">
        <f t="shared" si="0"/>
        <v>466</v>
      </c>
      <c r="P20" s="103">
        <f t="shared" si="0"/>
        <v>1347</v>
      </c>
      <c r="Q20" s="103">
        <f t="shared" si="0"/>
        <v>1703</v>
      </c>
      <c r="R20" s="57">
        <f t="shared" si="0"/>
        <v>338</v>
      </c>
      <c r="S20" s="148">
        <f t="shared" si="0"/>
        <v>0</v>
      </c>
    </row>
    <row r="21" spans="7:9" ht="12.75">
      <c r="G21" s="9"/>
      <c r="I21" s="9"/>
    </row>
    <row r="22" spans="2:19" ht="13.5" thickBot="1">
      <c r="B22" s="3"/>
      <c r="C22" s="3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3"/>
      <c r="S22" s="3"/>
    </row>
    <row r="23" spans="1:19" s="63" customFormat="1" ht="13.5" thickBot="1">
      <c r="A23" s="62" t="s">
        <v>121</v>
      </c>
      <c r="B23" s="32" t="s">
        <v>178</v>
      </c>
      <c r="C23" s="162" t="s">
        <v>177</v>
      </c>
      <c r="D23" s="93" t="s">
        <v>171</v>
      </c>
      <c r="E23" s="165">
        <v>44287</v>
      </c>
      <c r="F23" s="132">
        <v>43922</v>
      </c>
      <c r="G23" s="132">
        <v>43556</v>
      </c>
      <c r="H23" s="132">
        <v>43191</v>
      </c>
      <c r="I23" s="33">
        <v>42826</v>
      </c>
      <c r="J23" s="33">
        <v>42461</v>
      </c>
      <c r="K23" s="33">
        <v>42095</v>
      </c>
      <c r="L23" s="33">
        <v>41730</v>
      </c>
      <c r="M23" s="33">
        <v>41365</v>
      </c>
      <c r="N23" s="33">
        <v>41000</v>
      </c>
      <c r="O23" s="33">
        <v>40634</v>
      </c>
      <c r="P23" s="33">
        <v>40269</v>
      </c>
      <c r="Q23" s="33">
        <v>39904</v>
      </c>
      <c r="R23" s="33">
        <v>39539</v>
      </c>
      <c r="S23" s="34">
        <v>39173</v>
      </c>
    </row>
    <row r="24" spans="1:19" s="61" customFormat="1" ht="12.75">
      <c r="A24" s="64" t="s">
        <v>7</v>
      </c>
      <c r="B24" s="65"/>
      <c r="C24" s="141">
        <f>E24-'[1]Denmark'!E24</f>
        <v>-4</v>
      </c>
      <c r="D24" s="86">
        <f>F24-'[1]Denmark'!F24</f>
        <v>-4</v>
      </c>
      <c r="E24" s="163">
        <v>0</v>
      </c>
      <c r="F24" s="86">
        <v>0</v>
      </c>
      <c r="G24" s="86">
        <v>28</v>
      </c>
      <c r="H24" s="86"/>
      <c r="I24" s="86"/>
      <c r="J24" s="86">
        <v>25</v>
      </c>
      <c r="K24" s="86">
        <v>0</v>
      </c>
      <c r="L24" s="86"/>
      <c r="M24" s="86">
        <v>0</v>
      </c>
      <c r="N24" s="86">
        <v>0</v>
      </c>
      <c r="O24" s="86">
        <v>0</v>
      </c>
      <c r="P24" s="86">
        <v>0</v>
      </c>
      <c r="Q24" s="86">
        <f>SUM(T24:U24)</f>
        <v>0</v>
      </c>
      <c r="R24" s="66">
        <f>B39</f>
        <v>0</v>
      </c>
      <c r="S24" s="76">
        <f>B61</f>
        <v>0</v>
      </c>
    </row>
    <row r="25" spans="1:19" s="61" customFormat="1" ht="12.75">
      <c r="A25" s="64" t="s">
        <v>156</v>
      </c>
      <c r="B25" s="65"/>
      <c r="C25" s="141">
        <f>E25-'[1]Denmark'!E25</f>
        <v>0</v>
      </c>
      <c r="D25" s="86">
        <f>F25-'[1]Denmark'!F25</f>
        <v>0</v>
      </c>
      <c r="E25" s="163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66"/>
      <c r="S25" s="76"/>
    </row>
    <row r="26" spans="1:19" s="61" customFormat="1" ht="13.5" thickBot="1">
      <c r="A26" s="64" t="s">
        <v>6</v>
      </c>
      <c r="B26" s="65">
        <f>(E26-F26)/F26</f>
        <v>-1</v>
      </c>
      <c r="C26" s="141">
        <f>E26-'[1]Denmark'!E26</f>
        <v>-15</v>
      </c>
      <c r="D26" s="86">
        <f>F26-'[1]Denmark'!F26</f>
        <v>-7</v>
      </c>
      <c r="E26" s="163">
        <v>0</v>
      </c>
      <c r="F26" s="86">
        <v>19</v>
      </c>
      <c r="G26" s="86">
        <v>93</v>
      </c>
      <c r="H26" s="86"/>
      <c r="I26" s="86">
        <v>0</v>
      </c>
      <c r="J26" s="86">
        <v>47</v>
      </c>
      <c r="K26" s="86">
        <v>0</v>
      </c>
      <c r="L26" s="86"/>
      <c r="M26" s="86">
        <v>0</v>
      </c>
      <c r="N26" s="86">
        <v>0</v>
      </c>
      <c r="O26" s="86">
        <v>0</v>
      </c>
      <c r="P26" s="86">
        <v>0</v>
      </c>
      <c r="Q26" s="86">
        <f>SUM(T26:U26)</f>
        <v>0</v>
      </c>
      <c r="R26" s="66">
        <v>0</v>
      </c>
      <c r="S26" s="76">
        <f>B70</f>
        <v>0</v>
      </c>
    </row>
    <row r="27" spans="1:19" s="61" customFormat="1" ht="13.5" thickBot="1">
      <c r="A27" s="62" t="s">
        <v>92</v>
      </c>
      <c r="B27" s="164">
        <f>(E27-F27)/F27</f>
        <v>-1</v>
      </c>
      <c r="C27" s="167">
        <f>E27-'[1]Denmark'!E27</f>
        <v>-19</v>
      </c>
      <c r="D27" s="99">
        <f>F27-'[1]Denmark'!F27</f>
        <v>-11</v>
      </c>
      <c r="E27" s="73">
        <v>0</v>
      </c>
      <c r="F27" s="99">
        <f>SUM(F24:F26)</f>
        <v>19</v>
      </c>
      <c r="G27" s="99">
        <f>SUM(G24:G26)</f>
        <v>121</v>
      </c>
      <c r="H27" s="99">
        <v>0</v>
      </c>
      <c r="I27" s="99">
        <f>SUM(I26)</f>
        <v>0</v>
      </c>
      <c r="J27" s="99">
        <f>SUM(J24:J26)</f>
        <v>72</v>
      </c>
      <c r="K27" s="99">
        <f>SUM(K24:K26)</f>
        <v>0</v>
      </c>
      <c r="L27" s="99">
        <v>0</v>
      </c>
      <c r="M27" s="99">
        <f>SUM(M24:M26)</f>
        <v>0</v>
      </c>
      <c r="N27" s="99">
        <v>0</v>
      </c>
      <c r="O27" s="99">
        <v>0</v>
      </c>
      <c r="P27" s="99">
        <v>0</v>
      </c>
      <c r="Q27" s="99">
        <f>SUM(Q24:Q26)</f>
        <v>0</v>
      </c>
      <c r="R27" s="74">
        <f>SUM(R24:R26)</f>
        <v>0</v>
      </c>
      <c r="S27" s="78">
        <f>SUM(S24:S26)</f>
        <v>0</v>
      </c>
    </row>
    <row r="28" spans="4:17" s="61" customFormat="1" ht="12.75">
      <c r="D28" s="105"/>
      <c r="E28" s="105"/>
      <c r="F28" s="105"/>
      <c r="H28" s="105"/>
      <c r="J28" s="105"/>
      <c r="K28" s="105"/>
      <c r="L28" s="105"/>
      <c r="M28" s="105"/>
      <c r="N28" s="105"/>
      <c r="O28" s="105"/>
      <c r="P28" s="105"/>
      <c r="Q28" s="105"/>
    </row>
    <row r="29" spans="1:17" s="61" customFormat="1" ht="12.75">
      <c r="A29" s="63" t="s">
        <v>175</v>
      </c>
      <c r="D29" s="105"/>
      <c r="E29" s="105"/>
      <c r="F29" s="105"/>
      <c r="H29" s="105"/>
      <c r="J29" s="105"/>
      <c r="K29" s="105"/>
      <c r="L29" s="105"/>
      <c r="M29" s="105"/>
      <c r="N29" s="105"/>
      <c r="O29" s="105"/>
      <c r="P29" s="105"/>
      <c r="Q29" s="105"/>
    </row>
    <row r="30" spans="1:17" s="61" customFormat="1" ht="12.75">
      <c r="A30" s="61" t="s">
        <v>174</v>
      </c>
      <c r="D30" s="105"/>
      <c r="E30" s="105"/>
      <c r="F30" s="105"/>
      <c r="H30" s="105"/>
      <c r="J30" s="105"/>
      <c r="K30" s="105"/>
      <c r="L30" s="105"/>
      <c r="M30" s="105"/>
      <c r="N30" s="105"/>
      <c r="O30" s="105"/>
      <c r="P30" s="105"/>
      <c r="Q30" s="105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="110" zoomScaleNormal="110" zoomScalePageLayoutView="0" workbookViewId="0" topLeftCell="A1">
      <selection activeCell="E42" sqref="E42"/>
    </sheetView>
  </sheetViews>
  <sheetFormatPr defaultColWidth="8.8515625" defaultRowHeight="12.75"/>
  <cols>
    <col min="1" max="1" width="24.8515625" style="0" customWidth="1"/>
    <col min="2" max="2" width="10.8515625" style="0" customWidth="1"/>
    <col min="3" max="3" width="11.7109375" style="0" bestFit="1" customWidth="1"/>
    <col min="4" max="4" width="11.7109375" style="9" bestFit="1" customWidth="1"/>
    <col min="5" max="6" width="11.7109375" style="9" customWidth="1"/>
    <col min="7" max="7" width="11.7109375" style="0" customWidth="1"/>
    <col min="8" max="8" width="12.140625" style="9" customWidth="1"/>
    <col min="9" max="9" width="10.8515625" style="0" customWidth="1"/>
    <col min="10" max="16" width="10.8515625" style="9" customWidth="1"/>
  </cols>
  <sheetData>
    <row r="1" spans="1:16" ht="13.5" thickBot="1">
      <c r="A1" s="52" t="s">
        <v>24</v>
      </c>
      <c r="B1" s="32" t="s">
        <v>178</v>
      </c>
      <c r="C1" s="162" t="s">
        <v>177</v>
      </c>
      <c r="D1" s="93" t="s">
        <v>171</v>
      </c>
      <c r="E1" s="165">
        <v>44287</v>
      </c>
      <c r="F1" s="132">
        <v>43922</v>
      </c>
      <c r="G1" s="132">
        <v>43556</v>
      </c>
      <c r="H1" s="132">
        <v>43191</v>
      </c>
      <c r="I1" s="33">
        <v>42826</v>
      </c>
      <c r="J1" s="33">
        <v>42461</v>
      </c>
      <c r="K1" s="33">
        <v>42095</v>
      </c>
      <c r="L1" s="33">
        <v>41730</v>
      </c>
      <c r="M1" s="33">
        <v>41365</v>
      </c>
      <c r="N1" s="33">
        <v>41000</v>
      </c>
      <c r="O1" s="33">
        <v>40634</v>
      </c>
      <c r="P1" s="50">
        <v>40269</v>
      </c>
    </row>
    <row r="2" spans="1:16" ht="12.75">
      <c r="A2" s="53" t="s">
        <v>120</v>
      </c>
      <c r="B2" s="58">
        <f>(E2-F2)/F2</f>
        <v>-0.29463171036204744</v>
      </c>
      <c r="C2" s="141">
        <f>E2-'[1]France'!E2</f>
        <v>-2512</v>
      </c>
      <c r="D2" s="81">
        <f>F2-'[1]France'!F2</f>
        <v>-1257</v>
      </c>
      <c r="E2" s="159">
        <v>2260</v>
      </c>
      <c r="F2" s="81">
        <v>3204</v>
      </c>
      <c r="G2" s="81">
        <v>2389</v>
      </c>
      <c r="H2" s="81">
        <v>1367</v>
      </c>
      <c r="I2" s="121">
        <v>4481</v>
      </c>
      <c r="J2" s="121">
        <v>3650</v>
      </c>
      <c r="K2" s="121">
        <v>5089</v>
      </c>
      <c r="L2" s="121">
        <v>9919</v>
      </c>
      <c r="M2" s="121">
        <v>4061</v>
      </c>
      <c r="N2" s="121">
        <v>7705</v>
      </c>
      <c r="O2" s="121">
        <v>5121</v>
      </c>
      <c r="P2" s="114">
        <v>4681</v>
      </c>
    </row>
    <row r="3" spans="1:16" ht="12.75">
      <c r="A3" s="53" t="s">
        <v>125</v>
      </c>
      <c r="B3" s="58">
        <f aca="true" t="shared" si="0" ref="B3:B26">(E3-F3)/F3</f>
        <v>-0.39143005411817033</v>
      </c>
      <c r="C3" s="141">
        <f>E3-'[1]France'!E3</f>
        <v>-6313</v>
      </c>
      <c r="D3" s="81">
        <f>F3-'[1]France'!F3</f>
        <v>-4225</v>
      </c>
      <c r="E3" s="159">
        <v>8209</v>
      </c>
      <c r="F3" s="81">
        <v>13489</v>
      </c>
      <c r="G3" s="81">
        <v>11055</v>
      </c>
      <c r="H3" s="81">
        <v>8107</v>
      </c>
      <c r="I3" s="121">
        <v>10731</v>
      </c>
      <c r="J3" s="121">
        <v>12003</v>
      </c>
      <c r="K3" s="121">
        <v>8836</v>
      </c>
      <c r="L3" s="121">
        <v>16819</v>
      </c>
      <c r="M3" s="121">
        <v>6814</v>
      </c>
      <c r="N3" s="121">
        <v>10585</v>
      </c>
      <c r="O3" s="121">
        <v>10613</v>
      </c>
      <c r="P3" s="114">
        <v>11463</v>
      </c>
    </row>
    <row r="4" spans="1:16" ht="12.75">
      <c r="A4" s="53" t="s">
        <v>4</v>
      </c>
      <c r="B4" s="58">
        <f t="shared" si="0"/>
        <v>-0.7866108786610879</v>
      </c>
      <c r="C4" s="141">
        <f>E4-'[1]France'!E4</f>
        <v>-199</v>
      </c>
      <c r="D4" s="81">
        <f>F4-'[1]France'!F4</f>
        <v>-522</v>
      </c>
      <c r="E4" s="159">
        <v>51</v>
      </c>
      <c r="F4" s="81">
        <v>239</v>
      </c>
      <c r="G4" s="81">
        <v>495</v>
      </c>
      <c r="H4" s="81">
        <v>111</v>
      </c>
      <c r="I4" s="81">
        <v>355</v>
      </c>
      <c r="J4" s="81">
        <v>321</v>
      </c>
      <c r="K4" s="81">
        <v>466</v>
      </c>
      <c r="L4" s="81">
        <v>474</v>
      </c>
      <c r="M4" s="81">
        <v>0</v>
      </c>
      <c r="N4" s="81">
        <v>1823</v>
      </c>
      <c r="O4" s="81">
        <v>618</v>
      </c>
      <c r="P4" s="83">
        <v>1313</v>
      </c>
    </row>
    <row r="5" spans="1:16" ht="12.75">
      <c r="A5" s="53" t="s">
        <v>11</v>
      </c>
      <c r="B5" s="58">
        <f t="shared" si="0"/>
        <v>-0.5289892252437147</v>
      </c>
      <c r="C5" s="141">
        <f>E5-'[1]France'!E5</f>
        <v>-6403</v>
      </c>
      <c r="D5" s="81">
        <f>F5-'[1]France'!F5</f>
        <v>-6079</v>
      </c>
      <c r="E5" s="159">
        <v>6426</v>
      </c>
      <c r="F5" s="81">
        <v>13643</v>
      </c>
      <c r="G5" s="81">
        <v>12526</v>
      </c>
      <c r="H5" s="81">
        <v>6837</v>
      </c>
      <c r="I5" s="81">
        <v>9657</v>
      </c>
      <c r="J5" s="81">
        <v>9282</v>
      </c>
      <c r="K5" s="81">
        <v>6854</v>
      </c>
      <c r="L5" s="81">
        <v>17116</v>
      </c>
      <c r="M5" s="81">
        <v>3480</v>
      </c>
      <c r="N5" s="81">
        <v>17539</v>
      </c>
      <c r="O5" s="81">
        <v>13383</v>
      </c>
      <c r="P5" s="83">
        <v>23892</v>
      </c>
    </row>
    <row r="6" spans="1:16" ht="12.75">
      <c r="A6" s="53" t="s">
        <v>29</v>
      </c>
      <c r="B6" s="58"/>
      <c r="C6" s="141">
        <f>E6-'[1]France'!E6</f>
        <v>0</v>
      </c>
      <c r="D6" s="81">
        <f>F6-'[1]France'!F6</f>
        <v>0</v>
      </c>
      <c r="E6" s="159"/>
      <c r="F6" s="81">
        <v>0</v>
      </c>
      <c r="G6" s="81"/>
      <c r="H6" s="81"/>
      <c r="I6" s="81"/>
      <c r="J6" s="81"/>
      <c r="K6" s="81"/>
      <c r="L6" s="81"/>
      <c r="M6" s="81"/>
      <c r="N6" s="81">
        <v>851</v>
      </c>
      <c r="O6" s="81">
        <v>880</v>
      </c>
      <c r="P6" s="83">
        <v>1190</v>
      </c>
    </row>
    <row r="7" spans="1:16" ht="12.75">
      <c r="A7" s="53" t="s">
        <v>150</v>
      </c>
      <c r="B7" s="58">
        <f t="shared" si="0"/>
        <v>-0.3737244897959184</v>
      </c>
      <c r="C7" s="141">
        <f>E7-'[1]France'!E7</f>
        <v>-577</v>
      </c>
      <c r="D7" s="81">
        <f>F7-'[1]France'!F7</f>
        <v>-435</v>
      </c>
      <c r="E7" s="159">
        <v>1964</v>
      </c>
      <c r="F7" s="81">
        <v>3136</v>
      </c>
      <c r="G7" s="81">
        <v>3610</v>
      </c>
      <c r="H7" s="81">
        <v>2669</v>
      </c>
      <c r="I7" s="81">
        <v>3257</v>
      </c>
      <c r="J7" s="81">
        <v>2865</v>
      </c>
      <c r="K7" s="81">
        <v>1920</v>
      </c>
      <c r="L7" s="81">
        <v>1145</v>
      </c>
      <c r="M7" s="81">
        <v>987</v>
      </c>
      <c r="N7" s="81">
        <v>1591</v>
      </c>
      <c r="O7" s="81">
        <v>1556</v>
      </c>
      <c r="P7" s="83">
        <v>5</v>
      </c>
    </row>
    <row r="8" spans="1:16" ht="12.75">
      <c r="A8" s="53" t="s">
        <v>61</v>
      </c>
      <c r="B8" s="58">
        <f t="shared" si="0"/>
        <v>-0.016997011815664667</v>
      </c>
      <c r="C8" s="141">
        <f>E8-'[1]France'!E8</f>
        <v>-27379</v>
      </c>
      <c r="D8" s="81">
        <f>F8-'[1]France'!F8</f>
        <v>-23015</v>
      </c>
      <c r="E8" s="159">
        <v>35857</v>
      </c>
      <c r="F8" s="81">
        <v>36477</v>
      </c>
      <c r="G8" s="81">
        <v>35323</v>
      </c>
      <c r="H8" s="81">
        <v>29855</v>
      </c>
      <c r="I8" s="81">
        <v>32441</v>
      </c>
      <c r="J8" s="81">
        <v>31147</v>
      </c>
      <c r="K8" s="81">
        <v>26727</v>
      </c>
      <c r="L8" s="81">
        <v>26910</v>
      </c>
      <c r="M8" s="81">
        <v>12737</v>
      </c>
      <c r="N8" s="81">
        <v>21999</v>
      </c>
      <c r="O8" s="81">
        <v>19780</v>
      </c>
      <c r="P8" s="83">
        <v>19641</v>
      </c>
    </row>
    <row r="9" spans="1:16" ht="12.75">
      <c r="A9" s="53" t="s">
        <v>2</v>
      </c>
      <c r="B9" s="58">
        <f t="shared" si="0"/>
        <v>-0.4383561643835616</v>
      </c>
      <c r="C9" s="141">
        <f>E9-'[1]France'!E9</f>
        <v>-159</v>
      </c>
      <c r="D9" s="81">
        <f>F9-'[1]France'!F9</f>
        <v>-323</v>
      </c>
      <c r="E9" s="159">
        <v>246</v>
      </c>
      <c r="F9" s="81">
        <v>438</v>
      </c>
      <c r="G9" s="81">
        <v>390</v>
      </c>
      <c r="H9" s="81">
        <v>156</v>
      </c>
      <c r="I9" s="81">
        <v>332</v>
      </c>
      <c r="J9" s="81">
        <v>164</v>
      </c>
      <c r="K9" s="81">
        <v>180</v>
      </c>
      <c r="L9" s="81">
        <v>205</v>
      </c>
      <c r="M9" s="81">
        <v>340</v>
      </c>
      <c r="N9" s="81">
        <v>240</v>
      </c>
      <c r="O9" s="81">
        <v>456</v>
      </c>
      <c r="P9" s="83">
        <v>288</v>
      </c>
    </row>
    <row r="10" spans="1:16" ht="12.75">
      <c r="A10" s="53" t="s">
        <v>12</v>
      </c>
      <c r="B10" s="58">
        <f t="shared" si="0"/>
        <v>-0.6387835144345142</v>
      </c>
      <c r="C10" s="141">
        <f>E10-'[1]France'!E10</f>
        <v>-8775</v>
      </c>
      <c r="D10" s="81">
        <f>F10-'[1]France'!F10</f>
        <v>-5253</v>
      </c>
      <c r="E10" s="159">
        <v>5618</v>
      </c>
      <c r="F10" s="81">
        <v>15553</v>
      </c>
      <c r="G10" s="81">
        <v>9067</v>
      </c>
      <c r="H10" s="81">
        <v>10232</v>
      </c>
      <c r="I10" s="81">
        <v>6641</v>
      </c>
      <c r="J10" s="81">
        <v>7783</v>
      </c>
      <c r="K10" s="81">
        <v>4763</v>
      </c>
      <c r="L10" s="81">
        <v>14021</v>
      </c>
      <c r="M10" s="81">
        <v>5643</v>
      </c>
      <c r="N10" s="81">
        <v>8962</v>
      </c>
      <c r="O10" s="81">
        <v>10853</v>
      </c>
      <c r="P10" s="83">
        <v>8033</v>
      </c>
    </row>
    <row r="11" spans="1:16" ht="12.75">
      <c r="A11" s="53" t="s">
        <v>9</v>
      </c>
      <c r="B11" s="58">
        <f t="shared" si="0"/>
        <v>-0.022146871945259043</v>
      </c>
      <c r="C11" s="141">
        <f>E11-'[1]France'!E11</f>
        <v>-28277</v>
      </c>
      <c r="D11" s="81">
        <f>F11-'[1]France'!F11</f>
        <v>-20072</v>
      </c>
      <c r="E11" s="159">
        <v>32011</v>
      </c>
      <c r="F11" s="81">
        <v>32736</v>
      </c>
      <c r="G11" s="81">
        <v>39505</v>
      </c>
      <c r="H11" s="81">
        <v>18601</v>
      </c>
      <c r="I11" s="81">
        <v>17921</v>
      </c>
      <c r="J11" s="81">
        <v>11011</v>
      </c>
      <c r="K11" s="81">
        <v>13880</v>
      </c>
      <c r="L11" s="81">
        <v>13303</v>
      </c>
      <c r="M11" s="81">
        <v>7253</v>
      </c>
      <c r="N11" s="81">
        <v>9652</v>
      </c>
      <c r="O11" s="81">
        <v>11214</v>
      </c>
      <c r="P11" s="83">
        <v>6833</v>
      </c>
    </row>
    <row r="12" spans="1:16" ht="12.75">
      <c r="A12" s="53" t="s">
        <v>3</v>
      </c>
      <c r="B12" s="58">
        <f t="shared" si="0"/>
        <v>-0.4174237330539615</v>
      </c>
      <c r="C12" s="141">
        <f>E12-'[1]France'!E12</f>
        <v>-21748</v>
      </c>
      <c r="D12" s="81">
        <f>F12-'[1]France'!F12</f>
        <v>-20126</v>
      </c>
      <c r="E12" s="159">
        <v>74515</v>
      </c>
      <c r="F12" s="81">
        <v>127906</v>
      </c>
      <c r="G12" s="81">
        <v>115089</v>
      </c>
      <c r="H12" s="81">
        <v>107122</v>
      </c>
      <c r="I12" s="81">
        <v>125657</v>
      </c>
      <c r="J12" s="81">
        <v>125061</v>
      </c>
      <c r="K12" s="81">
        <v>123469</v>
      </c>
      <c r="L12" s="81">
        <v>151601</v>
      </c>
      <c r="M12" s="81">
        <v>64896</v>
      </c>
      <c r="N12" s="81">
        <v>122884</v>
      </c>
      <c r="O12" s="81">
        <v>128701</v>
      </c>
      <c r="P12" s="83">
        <v>142950</v>
      </c>
    </row>
    <row r="13" spans="1:16" ht="12.75">
      <c r="A13" s="53" t="s">
        <v>136</v>
      </c>
      <c r="B13" s="58">
        <f t="shared" si="0"/>
        <v>-0.15858798735511065</v>
      </c>
      <c r="C13" s="141">
        <f>E13-'[1]France'!E13</f>
        <v>-456</v>
      </c>
      <c r="D13" s="81">
        <f>F13-'[1]France'!F13</f>
        <v>-594</v>
      </c>
      <c r="E13" s="159">
        <v>1597</v>
      </c>
      <c r="F13" s="81">
        <v>1898</v>
      </c>
      <c r="G13" s="81">
        <v>1256</v>
      </c>
      <c r="H13" s="81">
        <v>916</v>
      </c>
      <c r="I13" s="81">
        <v>937</v>
      </c>
      <c r="J13" s="81">
        <v>1041</v>
      </c>
      <c r="K13" s="81">
        <v>1266</v>
      </c>
      <c r="L13" s="81">
        <v>1550</v>
      </c>
      <c r="M13" s="81">
        <v>1151</v>
      </c>
      <c r="N13" s="81">
        <v>1255</v>
      </c>
      <c r="O13" s="81">
        <v>1342</v>
      </c>
      <c r="P13" s="83">
        <v>1312</v>
      </c>
    </row>
    <row r="14" spans="1:16" ht="12.75">
      <c r="A14" s="53" t="s">
        <v>17</v>
      </c>
      <c r="B14" s="58">
        <f t="shared" si="0"/>
        <v>0.06706559414034399</v>
      </c>
      <c r="C14" s="141">
        <f>E14-'[1]France'!E14</f>
        <v>-13267</v>
      </c>
      <c r="D14" s="81">
        <f>F14-'[1]France'!F14</f>
        <v>-12509</v>
      </c>
      <c r="E14" s="159">
        <v>32633</v>
      </c>
      <c r="F14" s="81">
        <v>30582</v>
      </c>
      <c r="G14" s="81">
        <v>30581</v>
      </c>
      <c r="H14" s="81">
        <v>32645</v>
      </c>
      <c r="I14" s="81">
        <v>21723</v>
      </c>
      <c r="J14" s="81">
        <v>36609</v>
      </c>
      <c r="K14" s="81">
        <v>27334</v>
      </c>
      <c r="L14" s="81">
        <v>36919</v>
      </c>
      <c r="M14" s="81">
        <v>19951</v>
      </c>
      <c r="N14" s="81">
        <v>23465</v>
      </c>
      <c r="O14" s="81">
        <v>18323</v>
      </c>
      <c r="P14" s="83">
        <v>24187</v>
      </c>
    </row>
    <row r="15" spans="1:16" ht="12.75">
      <c r="A15" s="53" t="s">
        <v>128</v>
      </c>
      <c r="B15" s="58">
        <f t="shared" si="0"/>
        <v>-0.9191951453209837</v>
      </c>
      <c r="C15" s="141">
        <f>E15-'[1]France'!E15</f>
        <v>-122</v>
      </c>
      <c r="D15" s="81">
        <f>F15-'[1]France'!F15</f>
        <v>-1228</v>
      </c>
      <c r="E15" s="159">
        <v>253</v>
      </c>
      <c r="F15" s="81">
        <v>3131</v>
      </c>
      <c r="G15" s="81">
        <v>914</v>
      </c>
      <c r="H15" s="81">
        <v>763</v>
      </c>
      <c r="I15" s="81">
        <v>1055</v>
      </c>
      <c r="J15" s="81">
        <v>629</v>
      </c>
      <c r="K15" s="81">
        <v>3153</v>
      </c>
      <c r="L15" s="81">
        <v>2251</v>
      </c>
      <c r="M15" s="81">
        <v>939</v>
      </c>
      <c r="N15" s="81">
        <v>427</v>
      </c>
      <c r="O15" s="81">
        <v>723</v>
      </c>
      <c r="P15" s="83">
        <v>128</v>
      </c>
    </row>
    <row r="16" spans="1:17" ht="12.75">
      <c r="A16" s="53" t="s">
        <v>10</v>
      </c>
      <c r="B16" s="58">
        <f t="shared" si="0"/>
        <v>-0.3497854077253219</v>
      </c>
      <c r="C16" s="141">
        <f>E16-'[1]France'!E16</f>
        <v>-132</v>
      </c>
      <c r="D16" s="81">
        <f>F16-'[1]France'!F16</f>
        <v>-226</v>
      </c>
      <c r="E16" s="159">
        <v>606</v>
      </c>
      <c r="F16" s="81">
        <v>932</v>
      </c>
      <c r="G16" s="81">
        <v>709</v>
      </c>
      <c r="H16" s="81">
        <v>333</v>
      </c>
      <c r="I16" s="81">
        <v>776</v>
      </c>
      <c r="J16" s="81">
        <v>616</v>
      </c>
      <c r="K16" s="81">
        <v>638</v>
      </c>
      <c r="L16" s="81">
        <v>993</v>
      </c>
      <c r="M16" s="81">
        <v>641</v>
      </c>
      <c r="N16" s="81">
        <v>1169</v>
      </c>
      <c r="O16" s="81">
        <v>1225</v>
      </c>
      <c r="P16" s="83">
        <v>1772</v>
      </c>
      <c r="Q16" s="1"/>
    </row>
    <row r="17" spans="1:17" ht="12.75">
      <c r="A17" s="53" t="s">
        <v>127</v>
      </c>
      <c r="B17" s="58">
        <f t="shared" si="0"/>
        <v>-0.43955729415132144</v>
      </c>
      <c r="C17" s="141">
        <f>E17-'[1]France'!E17</f>
        <v>-5160</v>
      </c>
      <c r="D17" s="81">
        <f>F17-'[1]France'!F17</f>
        <v>-4025</v>
      </c>
      <c r="E17" s="159">
        <v>5874</v>
      </c>
      <c r="F17" s="81">
        <v>10481</v>
      </c>
      <c r="G17" s="81">
        <v>6321</v>
      </c>
      <c r="H17" s="81">
        <v>6462</v>
      </c>
      <c r="I17" s="81">
        <v>4123</v>
      </c>
      <c r="J17" s="81">
        <v>3494</v>
      </c>
      <c r="K17" s="81">
        <v>2995</v>
      </c>
      <c r="L17" s="81">
        <v>2918</v>
      </c>
      <c r="M17" s="81">
        <v>1011</v>
      </c>
      <c r="N17" s="81">
        <v>1706</v>
      </c>
      <c r="O17" s="81">
        <v>2488</v>
      </c>
      <c r="P17" s="83">
        <v>6570</v>
      </c>
      <c r="Q17" s="1"/>
    </row>
    <row r="18" spans="1:17" ht="12.75">
      <c r="A18" s="53" t="s">
        <v>27</v>
      </c>
      <c r="B18" s="58">
        <f t="shared" si="0"/>
        <v>-0.3594782608695652</v>
      </c>
      <c r="C18" s="141">
        <f>E18-'[1]France'!E18</f>
        <v>-1633</v>
      </c>
      <c r="D18" s="81">
        <f>F18-'[1]France'!F18</f>
        <v>-768</v>
      </c>
      <c r="E18" s="159">
        <v>7366</v>
      </c>
      <c r="F18" s="81">
        <v>11500</v>
      </c>
      <c r="G18" s="81">
        <v>9649</v>
      </c>
      <c r="H18" s="81">
        <v>7229</v>
      </c>
      <c r="I18" s="81">
        <v>6497</v>
      </c>
      <c r="J18" s="81">
        <v>6327</v>
      </c>
      <c r="K18" s="81">
        <v>2945</v>
      </c>
      <c r="L18" s="81">
        <v>5106</v>
      </c>
      <c r="M18" s="81">
        <v>1802</v>
      </c>
      <c r="N18" s="81">
        <v>4996</v>
      </c>
      <c r="O18" s="81">
        <v>5389</v>
      </c>
      <c r="P18" s="83">
        <v>7756</v>
      </c>
      <c r="Q18" s="1"/>
    </row>
    <row r="19" spans="1:16" ht="12.75">
      <c r="A19" s="53" t="s">
        <v>126</v>
      </c>
      <c r="B19" s="58">
        <f t="shared" si="0"/>
        <v>-0.5027064955894146</v>
      </c>
      <c r="C19" s="141">
        <f>E19-'[1]France'!E19</f>
        <v>-3966</v>
      </c>
      <c r="D19" s="81">
        <f>F19-'[1]France'!F19</f>
        <v>-2987</v>
      </c>
      <c r="E19" s="159">
        <v>4961</v>
      </c>
      <c r="F19" s="81">
        <v>9976</v>
      </c>
      <c r="G19" s="81">
        <v>7071</v>
      </c>
      <c r="H19" s="81">
        <v>5908</v>
      </c>
      <c r="I19" s="81">
        <v>5616</v>
      </c>
      <c r="J19" s="81">
        <v>4735</v>
      </c>
      <c r="K19" s="81">
        <v>2911</v>
      </c>
      <c r="L19" s="81">
        <v>7500</v>
      </c>
      <c r="M19" s="81">
        <v>1570</v>
      </c>
      <c r="N19" s="81">
        <v>2340</v>
      </c>
      <c r="O19" s="81">
        <v>4278</v>
      </c>
      <c r="P19" s="83">
        <v>6595</v>
      </c>
    </row>
    <row r="20" spans="1:18" s="16" customFormat="1" ht="12.75">
      <c r="A20" s="53" t="s">
        <v>119</v>
      </c>
      <c r="B20" s="58"/>
      <c r="C20" s="141">
        <f>E20-'[1]France'!E20</f>
        <v>-7</v>
      </c>
      <c r="D20" s="81">
        <f>F20-'[1]France'!F20</f>
        <v>-51</v>
      </c>
      <c r="E20" s="159">
        <v>122</v>
      </c>
      <c r="F20" s="81">
        <v>153</v>
      </c>
      <c r="G20" s="81">
        <v>0</v>
      </c>
      <c r="H20" s="81">
        <v>0</v>
      </c>
      <c r="I20" s="81">
        <v>0</v>
      </c>
      <c r="J20" s="81">
        <v>11</v>
      </c>
      <c r="K20" s="81">
        <v>13</v>
      </c>
      <c r="L20" s="81">
        <v>27</v>
      </c>
      <c r="M20" s="81">
        <v>2</v>
      </c>
      <c r="N20" s="81">
        <v>21</v>
      </c>
      <c r="O20" s="81">
        <v>58</v>
      </c>
      <c r="P20" s="83">
        <v>2</v>
      </c>
      <c r="R20"/>
    </row>
    <row r="21" spans="1:16" ht="12.75">
      <c r="A21" s="53" t="s">
        <v>88</v>
      </c>
      <c r="B21" s="58">
        <f t="shared" si="0"/>
        <v>-0.5586459680896938</v>
      </c>
      <c r="C21" s="141">
        <f>E21-'[1]France'!E21</f>
        <v>-5795</v>
      </c>
      <c r="D21" s="81">
        <f>F21-'[1]France'!F21</f>
        <v>-3730</v>
      </c>
      <c r="E21" s="159">
        <v>2047</v>
      </c>
      <c r="F21" s="81">
        <v>4638</v>
      </c>
      <c r="G21" s="81">
        <v>4719</v>
      </c>
      <c r="H21" s="81">
        <v>2336</v>
      </c>
      <c r="I21" s="81">
        <v>2795</v>
      </c>
      <c r="J21" s="81">
        <v>4188</v>
      </c>
      <c r="K21" s="81">
        <v>2688</v>
      </c>
      <c r="L21" s="81">
        <v>10463</v>
      </c>
      <c r="M21" s="81">
        <v>1169</v>
      </c>
      <c r="N21" s="81">
        <v>7206</v>
      </c>
      <c r="O21" s="81">
        <v>6008</v>
      </c>
      <c r="P21" s="83">
        <v>6550</v>
      </c>
    </row>
    <row r="22" spans="1:16" ht="12.75">
      <c r="A22" s="53" t="s">
        <v>115</v>
      </c>
      <c r="B22" s="58">
        <f t="shared" si="0"/>
        <v>-0.6691616766467066</v>
      </c>
      <c r="C22" s="141">
        <f>E22-'[1]France'!E22</f>
        <v>-168</v>
      </c>
      <c r="D22" s="81">
        <f>F22-'[1]France'!F22</f>
        <v>-331</v>
      </c>
      <c r="E22" s="159">
        <v>221</v>
      </c>
      <c r="F22" s="81">
        <v>668</v>
      </c>
      <c r="G22" s="81">
        <v>249</v>
      </c>
      <c r="H22" s="81">
        <v>87</v>
      </c>
      <c r="I22" s="81">
        <v>47</v>
      </c>
      <c r="J22" s="81">
        <v>276</v>
      </c>
      <c r="K22" s="81">
        <v>77</v>
      </c>
      <c r="L22" s="81">
        <v>612</v>
      </c>
      <c r="M22" s="81">
        <v>47</v>
      </c>
      <c r="N22" s="81">
        <v>526</v>
      </c>
      <c r="O22" s="81">
        <v>110</v>
      </c>
      <c r="P22" s="83">
        <v>619</v>
      </c>
    </row>
    <row r="23" spans="1:16" ht="12.75">
      <c r="A23" s="53" t="s">
        <v>129</v>
      </c>
      <c r="B23" s="58">
        <f t="shared" si="0"/>
        <v>-0.16027676950998185</v>
      </c>
      <c r="C23" s="141">
        <f>E23-'[1]France'!E23</f>
        <v>-1065</v>
      </c>
      <c r="D23" s="81">
        <f>F23-'[1]France'!F23</f>
        <v>-409</v>
      </c>
      <c r="E23" s="159">
        <v>7403</v>
      </c>
      <c r="F23" s="81">
        <v>8816</v>
      </c>
      <c r="G23" s="81">
        <v>7145</v>
      </c>
      <c r="H23" s="81">
        <v>5320</v>
      </c>
      <c r="I23" s="81">
        <v>4816</v>
      </c>
      <c r="J23" s="81">
        <v>4121</v>
      </c>
      <c r="K23" s="81">
        <v>5445</v>
      </c>
      <c r="L23" s="81">
        <v>4683</v>
      </c>
      <c r="M23" s="81">
        <v>2855</v>
      </c>
      <c r="N23" s="81">
        <v>4507</v>
      </c>
      <c r="O23" s="81">
        <v>1341</v>
      </c>
      <c r="P23" s="83">
        <v>1197</v>
      </c>
    </row>
    <row r="24" spans="1:16" ht="12.75">
      <c r="A24" s="53" t="s">
        <v>124</v>
      </c>
      <c r="B24" s="58">
        <f t="shared" si="0"/>
        <v>-0.3435527502254283</v>
      </c>
      <c r="C24" s="141">
        <f>E24-'[1]France'!E24</f>
        <v>-544</v>
      </c>
      <c r="D24" s="81">
        <f>F24-'[1]France'!F24</f>
        <v>-646</v>
      </c>
      <c r="E24" s="159">
        <v>728</v>
      </c>
      <c r="F24" s="81">
        <v>1109</v>
      </c>
      <c r="G24" s="81">
        <v>1492</v>
      </c>
      <c r="H24" s="81">
        <v>900</v>
      </c>
      <c r="I24" s="81">
        <v>2103</v>
      </c>
      <c r="J24" s="81">
        <v>1433</v>
      </c>
      <c r="K24" s="81">
        <v>964</v>
      </c>
      <c r="L24" s="81">
        <v>2199</v>
      </c>
      <c r="M24" s="81">
        <v>1136</v>
      </c>
      <c r="N24" s="81">
        <v>2161</v>
      </c>
      <c r="O24" s="81">
        <v>1060</v>
      </c>
      <c r="P24" s="83">
        <v>1938</v>
      </c>
    </row>
    <row r="25" spans="1:16" ht="13.5" thickBot="1">
      <c r="A25" s="53" t="s">
        <v>6</v>
      </c>
      <c r="B25" s="58">
        <f t="shared" si="0"/>
        <v>0.7464900138421989</v>
      </c>
      <c r="C25" s="141">
        <f>E25-'[1]France'!E25</f>
        <v>-4654</v>
      </c>
      <c r="D25" s="81">
        <f>F25-'[1]France'!F25</f>
        <v>-2345</v>
      </c>
      <c r="E25" s="159">
        <v>8832</v>
      </c>
      <c r="F25" s="81">
        <v>5057</v>
      </c>
      <c r="G25" s="81">
        <v>5454</v>
      </c>
      <c r="H25" s="81">
        <v>1969</v>
      </c>
      <c r="I25" s="81">
        <v>1752</v>
      </c>
      <c r="J25" s="81">
        <v>991</v>
      </c>
      <c r="K25" s="81">
        <v>1736</v>
      </c>
      <c r="L25" s="81">
        <v>4218</v>
      </c>
      <c r="M25" s="81">
        <v>3302</v>
      </c>
      <c r="N25" s="81">
        <v>1060</v>
      </c>
      <c r="O25" s="81">
        <v>4609</v>
      </c>
      <c r="P25" s="83">
        <v>6774</v>
      </c>
    </row>
    <row r="26" spans="1:16" ht="13.5" thickBot="1">
      <c r="A26" s="52" t="s">
        <v>92</v>
      </c>
      <c r="B26" s="168">
        <f t="shared" si="0"/>
        <v>-0.2858036347174487</v>
      </c>
      <c r="C26" s="167">
        <f>E26-'[1]France'!E26</f>
        <v>-139311</v>
      </c>
      <c r="D26" s="103">
        <f>F26-'[1]France'!F26</f>
        <v>-111156</v>
      </c>
      <c r="E26" s="160">
        <f aca="true" t="shared" si="1" ref="E26:J26">SUM(E2:E25)</f>
        <v>239800</v>
      </c>
      <c r="F26" s="103">
        <f t="shared" si="1"/>
        <v>335762</v>
      </c>
      <c r="G26" s="103">
        <f t="shared" si="1"/>
        <v>305009</v>
      </c>
      <c r="H26" s="130">
        <f t="shared" si="1"/>
        <v>249925</v>
      </c>
      <c r="I26" s="103">
        <f t="shared" si="1"/>
        <v>263713</v>
      </c>
      <c r="J26" s="103">
        <f t="shared" si="1"/>
        <v>267758</v>
      </c>
      <c r="K26" s="103">
        <f aca="true" t="shared" si="2" ref="K26:P26">SUM(K2:K25)</f>
        <v>244349</v>
      </c>
      <c r="L26" s="103">
        <f t="shared" si="2"/>
        <v>330952</v>
      </c>
      <c r="M26" s="103">
        <f t="shared" si="2"/>
        <v>141787</v>
      </c>
      <c r="N26" s="103">
        <f t="shared" si="2"/>
        <v>254670</v>
      </c>
      <c r="O26" s="103">
        <f t="shared" si="2"/>
        <v>250129</v>
      </c>
      <c r="P26" s="108">
        <f t="shared" si="2"/>
        <v>285689</v>
      </c>
    </row>
    <row r="27" spans="7:9" ht="12.75">
      <c r="G27" s="9"/>
      <c r="I27" s="9"/>
    </row>
    <row r="28" spans="1:16" s="61" customFormat="1" ht="13.5" thickBot="1">
      <c r="A28" s="90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</row>
    <row r="29" spans="1:16" s="61" customFormat="1" ht="13.5" thickBot="1">
      <c r="A29" s="52" t="s">
        <v>25</v>
      </c>
      <c r="B29" s="32" t="s">
        <v>178</v>
      </c>
      <c r="C29" s="162" t="s">
        <v>177</v>
      </c>
      <c r="D29" s="93" t="s">
        <v>171</v>
      </c>
      <c r="E29" s="165">
        <v>44287</v>
      </c>
      <c r="F29" s="132">
        <v>43922</v>
      </c>
      <c r="G29" s="132">
        <v>43556</v>
      </c>
      <c r="H29" s="132">
        <v>43191</v>
      </c>
      <c r="I29" s="33">
        <v>42826</v>
      </c>
      <c r="J29" s="33">
        <v>42461</v>
      </c>
      <c r="K29" s="33">
        <v>42095</v>
      </c>
      <c r="L29" s="33">
        <v>41730</v>
      </c>
      <c r="M29" s="33">
        <v>41365</v>
      </c>
      <c r="N29" s="33">
        <v>41000</v>
      </c>
      <c r="O29" s="33">
        <v>40634</v>
      </c>
      <c r="P29" s="50">
        <v>40269</v>
      </c>
    </row>
    <row r="30" spans="1:16" ht="12.75">
      <c r="A30" s="64" t="s">
        <v>137</v>
      </c>
      <c r="B30" s="58">
        <f aca="true" t="shared" si="3" ref="B30:B38">(E30-F30)/F30</f>
        <v>2.3798882681564244</v>
      </c>
      <c r="C30" s="141">
        <f>E30-'[1]France'!E30</f>
        <v>-1417</v>
      </c>
      <c r="D30" s="81">
        <f>F30-'[1]France'!F30</f>
        <v>-426</v>
      </c>
      <c r="E30" s="159">
        <v>605</v>
      </c>
      <c r="F30" s="81">
        <v>179</v>
      </c>
      <c r="G30" s="81">
        <v>271</v>
      </c>
      <c r="H30" s="81">
        <v>477</v>
      </c>
      <c r="I30" s="121">
        <v>587</v>
      </c>
      <c r="J30" s="121">
        <v>143</v>
      </c>
      <c r="K30" s="121">
        <v>1440</v>
      </c>
      <c r="L30" s="121">
        <v>1719</v>
      </c>
      <c r="M30" s="121">
        <v>34</v>
      </c>
      <c r="N30" s="121">
        <v>2282</v>
      </c>
      <c r="O30" s="121"/>
      <c r="P30" s="114"/>
    </row>
    <row r="31" spans="1:16" ht="12.75">
      <c r="A31" s="64" t="s">
        <v>138</v>
      </c>
      <c r="B31" s="58"/>
      <c r="C31" s="141">
        <f>E31-'[1]France'!E31</f>
        <v>0</v>
      </c>
      <c r="D31" s="81">
        <f>F31-'[1]France'!F31</f>
        <v>0</v>
      </c>
      <c r="E31" s="159"/>
      <c r="F31" s="81"/>
      <c r="G31" s="81"/>
      <c r="H31" s="81"/>
      <c r="I31" s="121"/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21"/>
      <c r="P31" s="114"/>
    </row>
    <row r="32" spans="1:16" ht="12.75">
      <c r="A32" s="64" t="s">
        <v>7</v>
      </c>
      <c r="B32" s="58">
        <f t="shared" si="3"/>
        <v>-0.2883156297420334</v>
      </c>
      <c r="C32" s="141">
        <f>E32-'[1]France'!E32</f>
        <v>-1170</v>
      </c>
      <c r="D32" s="81">
        <f>F32-'[1]France'!F32</f>
        <v>-802</v>
      </c>
      <c r="E32" s="159">
        <v>469</v>
      </c>
      <c r="F32" s="81">
        <v>659</v>
      </c>
      <c r="G32" s="81">
        <v>874</v>
      </c>
      <c r="H32" s="81">
        <v>766</v>
      </c>
      <c r="I32" s="81">
        <v>482</v>
      </c>
      <c r="J32" s="81">
        <v>478</v>
      </c>
      <c r="K32" s="81">
        <v>549</v>
      </c>
      <c r="L32" s="81">
        <v>105</v>
      </c>
      <c r="M32" s="81">
        <v>171</v>
      </c>
      <c r="N32" s="81">
        <v>1254</v>
      </c>
      <c r="O32" s="81"/>
      <c r="P32" s="83"/>
    </row>
    <row r="33" spans="1:16" ht="12.75">
      <c r="A33" s="64" t="s">
        <v>93</v>
      </c>
      <c r="B33" s="58">
        <f t="shared" si="3"/>
        <v>-0.7894736842105263</v>
      </c>
      <c r="C33" s="141">
        <f>E33-'[1]France'!E33</f>
        <v>-81</v>
      </c>
      <c r="D33" s="81">
        <f>F33-'[1]France'!F33</f>
        <v>-64</v>
      </c>
      <c r="E33" s="159">
        <v>8</v>
      </c>
      <c r="F33" s="81">
        <v>38</v>
      </c>
      <c r="G33" s="81">
        <v>230</v>
      </c>
      <c r="H33" s="81">
        <v>163</v>
      </c>
      <c r="I33" s="81">
        <v>50</v>
      </c>
      <c r="J33" s="81">
        <v>102</v>
      </c>
      <c r="K33" s="81">
        <v>39</v>
      </c>
      <c r="L33" s="81">
        <v>11</v>
      </c>
      <c r="M33" s="81">
        <v>6</v>
      </c>
      <c r="N33" s="81">
        <v>139</v>
      </c>
      <c r="O33" s="81"/>
      <c r="P33" s="83"/>
    </row>
    <row r="34" spans="1:16" ht="12.75">
      <c r="A34" s="64" t="s">
        <v>139</v>
      </c>
      <c r="B34" s="58"/>
      <c r="C34" s="141">
        <f>E34-'[1]France'!E34</f>
        <v>0</v>
      </c>
      <c r="D34" s="81">
        <f>F34-'[1]France'!F34</f>
        <v>0</v>
      </c>
      <c r="E34" s="159"/>
      <c r="F34" s="81">
        <v>0</v>
      </c>
      <c r="G34" s="81"/>
      <c r="H34" s="81"/>
      <c r="I34" s="81"/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/>
      <c r="P34" s="83"/>
    </row>
    <row r="35" spans="1:16" ht="12.75">
      <c r="A35" s="64" t="s">
        <v>140</v>
      </c>
      <c r="B35" s="58">
        <f t="shared" si="3"/>
        <v>-1</v>
      </c>
      <c r="C35" s="141">
        <f>E35-'[1]France'!E35</f>
        <v>-132</v>
      </c>
      <c r="D35" s="81">
        <f>F35-'[1]France'!F35</f>
        <v>-124</v>
      </c>
      <c r="E35" s="159"/>
      <c r="F35" s="81">
        <v>19</v>
      </c>
      <c r="G35" s="81">
        <v>305</v>
      </c>
      <c r="H35" s="81">
        <v>65</v>
      </c>
      <c r="I35" s="81">
        <v>29</v>
      </c>
      <c r="J35" s="81">
        <v>94</v>
      </c>
      <c r="K35" s="81">
        <v>38</v>
      </c>
      <c r="L35" s="81">
        <v>134</v>
      </c>
      <c r="M35" s="81">
        <v>23</v>
      </c>
      <c r="N35" s="81">
        <v>10</v>
      </c>
      <c r="O35" s="81"/>
      <c r="P35" s="83"/>
    </row>
    <row r="36" spans="1:16" ht="12.75">
      <c r="A36" s="64" t="s">
        <v>141</v>
      </c>
      <c r="B36" s="58"/>
      <c r="C36" s="141">
        <f>E36-'[1]France'!E36</f>
        <v>0</v>
      </c>
      <c r="D36" s="81">
        <f>F36-'[1]France'!F36</f>
        <v>27</v>
      </c>
      <c r="E36" s="159"/>
      <c r="F36" s="81">
        <v>27</v>
      </c>
      <c r="G36" s="81"/>
      <c r="H36" s="81"/>
      <c r="I36" s="81"/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/>
      <c r="P36" s="83"/>
    </row>
    <row r="37" spans="1:16" ht="13.5" thickBot="1">
      <c r="A37" s="64" t="s">
        <v>6</v>
      </c>
      <c r="B37" s="58">
        <f t="shared" si="3"/>
        <v>3.717391304347826</v>
      </c>
      <c r="C37" s="141">
        <f>E37-'[1]France'!E37</f>
        <v>-145</v>
      </c>
      <c r="D37" s="81">
        <f>F37-'[1]France'!F37</f>
        <v>-59</v>
      </c>
      <c r="E37" s="159">
        <v>217</v>
      </c>
      <c r="F37" s="81">
        <v>46</v>
      </c>
      <c r="G37" s="81">
        <v>209</v>
      </c>
      <c r="H37" s="81">
        <v>28</v>
      </c>
      <c r="I37" s="81">
        <v>90</v>
      </c>
      <c r="J37" s="81">
        <v>3</v>
      </c>
      <c r="K37" s="81">
        <v>2</v>
      </c>
      <c r="L37" s="81">
        <v>87</v>
      </c>
      <c r="M37" s="81">
        <v>1</v>
      </c>
      <c r="N37" s="81">
        <v>10</v>
      </c>
      <c r="O37" s="81"/>
      <c r="P37" s="83"/>
    </row>
    <row r="38" spans="1:16" ht="13.5" thickBot="1">
      <c r="A38" s="52" t="s">
        <v>92</v>
      </c>
      <c r="B38" s="168">
        <f t="shared" si="3"/>
        <v>0.3419421487603306</v>
      </c>
      <c r="C38" s="167">
        <f>E38-'[1]France'!E38</f>
        <v>-2945</v>
      </c>
      <c r="D38" s="103">
        <f>F38-'[1]France'!F38</f>
        <v>-1448</v>
      </c>
      <c r="E38" s="160">
        <f>SUM(E30:E37)</f>
        <v>1299</v>
      </c>
      <c r="F38" s="103">
        <f>SUM(F30:F37)</f>
        <v>968</v>
      </c>
      <c r="G38" s="103">
        <f>SUM(G30:G37)</f>
        <v>1889</v>
      </c>
      <c r="H38" s="130">
        <f>SUM(H30:H37)</f>
        <v>1499</v>
      </c>
      <c r="I38" s="103">
        <f aca="true" t="shared" si="4" ref="I38:N38">SUM(I30:I37)</f>
        <v>1238</v>
      </c>
      <c r="J38" s="103">
        <f t="shared" si="4"/>
        <v>820</v>
      </c>
      <c r="K38" s="103">
        <f t="shared" si="4"/>
        <v>2068</v>
      </c>
      <c r="L38" s="103">
        <f t="shared" si="4"/>
        <v>2056</v>
      </c>
      <c r="M38" s="103">
        <f t="shared" si="4"/>
        <v>235</v>
      </c>
      <c r="N38" s="103">
        <f t="shared" si="4"/>
        <v>3695</v>
      </c>
      <c r="O38" s="103"/>
      <c r="P38" s="108"/>
    </row>
    <row r="43" ht="12.75">
      <c r="J43" s="121"/>
    </row>
    <row r="50" ht="12.75">
      <c r="J50" s="121"/>
    </row>
    <row r="51" ht="12.75">
      <c r="J51" s="81"/>
    </row>
    <row r="52" ht="12.75">
      <c r="J52" s="81"/>
    </row>
    <row r="53" ht="12.75">
      <c r="J53" s="81"/>
    </row>
    <row r="54" ht="12.75">
      <c r="J54" s="81"/>
    </row>
    <row r="55" ht="12.75">
      <c r="J55" s="81"/>
    </row>
    <row r="56" ht="12.75">
      <c r="J56" s="81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Microsoft Office User</cp:lastModifiedBy>
  <cp:lastPrinted>2013-04-12T07:44:14Z</cp:lastPrinted>
  <dcterms:created xsi:type="dcterms:W3CDTF">2006-12-13T13:34:27Z</dcterms:created>
  <dcterms:modified xsi:type="dcterms:W3CDTF">2021-04-20T08:02:54Z</dcterms:modified>
  <cp:category/>
  <cp:version/>
  <cp:contentType/>
  <cp:contentStatus/>
</cp:coreProperties>
</file>