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DE69563E-CDAE-4DDE-88D5-1F3739E9A28D}" xr6:coauthVersionLast="45" xr6:coauthVersionMax="45" xr10:uidLastSave="{00000000-0000-0000-0000-000000000000}"/>
  <bookViews>
    <workbookView xWindow="3510" yWindow="1500" windowWidth="21600" windowHeight="14700" tabRatio="596" firstSheet="4" activeTab="4"/>
  </bookViews>
  <sheets>
    <sheet name="Intro" sheetId="22" r:id="rId1"/>
    <sheet name="US" sheetId="9" r:id="rId2"/>
    <sheet name="EU - country" sheetId="1" r:id="rId3"/>
    <sheet name="EU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pain" sheetId="33" r:id="rId14"/>
    <sheet name="Switzerland" sheetId="34" r:id="rId15"/>
    <sheet name="Netherlands" sheetId="32" r:id="rId16"/>
    <sheet name="UK" sheetId="30" r:id="rId17"/>
  </sheets>
  <externalReferences>
    <externalReference r:id="rId18"/>
    <externalReference r:id="rId19"/>
  </externalReferences>
  <definedNames>
    <definedName name="_xlnm.Print_Area" localSheetId="2">'EU - country'!$A$1:$V$31</definedName>
    <definedName name="_xlnm.Print_Area" localSheetId="3">'EU - variety'!$A$1:$P$44</definedName>
    <definedName name="_xlnm.Print_Area" localSheetId="1">US!$A$1:$T$41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2" l="1"/>
  <c r="D42" i="2"/>
  <c r="C26" i="1"/>
  <c r="D26" i="1"/>
  <c r="E14" i="38"/>
  <c r="D14" i="38"/>
  <c r="C14" i="38"/>
  <c r="C13" i="38"/>
  <c r="D13" i="38"/>
  <c r="B16" i="30"/>
  <c r="E19" i="30"/>
  <c r="E12" i="30"/>
  <c r="C19" i="30"/>
  <c r="C18" i="30"/>
  <c r="C17" i="30"/>
  <c r="C16" i="30"/>
  <c r="C12" i="30"/>
  <c r="C11" i="30"/>
  <c r="C10" i="30"/>
  <c r="C9" i="30"/>
  <c r="C8" i="30"/>
  <c r="C7" i="30"/>
  <c r="C6" i="30"/>
  <c r="C5" i="30"/>
  <c r="C4" i="30"/>
  <c r="C3" i="30"/>
  <c r="C2" i="30"/>
  <c r="C43" i="2"/>
  <c r="C41" i="2"/>
  <c r="C40" i="2"/>
  <c r="C38" i="2"/>
  <c r="C37" i="2"/>
  <c r="C36" i="2"/>
  <c r="C29" i="2"/>
  <c r="C28" i="2"/>
  <c r="C27" i="2"/>
  <c r="C26" i="2"/>
  <c r="C25" i="2"/>
  <c r="C24" i="2"/>
  <c r="C22" i="2"/>
  <c r="C21" i="2"/>
  <c r="C20" i="2"/>
  <c r="C19" i="2"/>
  <c r="C17" i="2"/>
  <c r="C16" i="2"/>
  <c r="C15" i="2"/>
  <c r="C11" i="2"/>
  <c r="C9" i="2"/>
  <c r="C7" i="2"/>
  <c r="C5" i="2"/>
  <c r="C2" i="2"/>
  <c r="E43" i="2"/>
  <c r="B43" i="2"/>
  <c r="E42" i="2"/>
  <c r="E41" i="2"/>
  <c r="E40" i="2"/>
  <c r="E39" i="2"/>
  <c r="C39" i="2"/>
  <c r="E38" i="2"/>
  <c r="E36" i="2"/>
  <c r="E37" i="2"/>
  <c r="E31" i="2"/>
  <c r="C31" i="2"/>
  <c r="E30" i="2"/>
  <c r="C30" i="2"/>
  <c r="E29" i="2"/>
  <c r="E28" i="2"/>
  <c r="E27" i="2"/>
  <c r="E26" i="2"/>
  <c r="B26" i="2"/>
  <c r="E25" i="2"/>
  <c r="E24" i="2"/>
  <c r="B24" i="2"/>
  <c r="E23" i="2"/>
  <c r="B23" i="2"/>
  <c r="E22" i="2"/>
  <c r="B22" i="2"/>
  <c r="E21" i="2"/>
  <c r="E20" i="2"/>
  <c r="E19" i="2"/>
  <c r="E18" i="2"/>
  <c r="C18" i="2"/>
  <c r="E17" i="2"/>
  <c r="E16" i="2"/>
  <c r="E15" i="2"/>
  <c r="E13" i="2"/>
  <c r="C13" i="2"/>
  <c r="E14" i="2"/>
  <c r="C14" i="2"/>
  <c r="E12" i="2"/>
  <c r="C12" i="2"/>
  <c r="E11" i="2"/>
  <c r="E10" i="2"/>
  <c r="C10" i="2"/>
  <c r="E9" i="2"/>
  <c r="E8" i="2"/>
  <c r="C8" i="2"/>
  <c r="E7" i="2"/>
  <c r="E6" i="2"/>
  <c r="C6" i="2"/>
  <c r="E5" i="2"/>
  <c r="E4" i="2"/>
  <c r="C4" i="2"/>
  <c r="E3" i="2"/>
  <c r="B3" i="2"/>
  <c r="E2" i="2"/>
  <c r="B41" i="2"/>
  <c r="B37" i="2"/>
  <c r="B28" i="2"/>
  <c r="B14" i="2"/>
  <c r="B8" i="2"/>
  <c r="B6" i="2"/>
  <c r="B4" i="2"/>
  <c r="C29" i="1"/>
  <c r="C28" i="1"/>
  <c r="C27" i="1"/>
  <c r="C25" i="1"/>
  <c r="C24" i="1"/>
  <c r="C23" i="1"/>
  <c r="C22" i="1"/>
  <c r="C21" i="1"/>
  <c r="C20" i="1"/>
  <c r="C19" i="1"/>
  <c r="C12" i="1"/>
  <c r="C11" i="1"/>
  <c r="C10" i="1"/>
  <c r="C9" i="1"/>
  <c r="C8" i="1"/>
  <c r="C6" i="1"/>
  <c r="C5" i="1"/>
  <c r="C4" i="1"/>
  <c r="C3" i="1"/>
  <c r="E30" i="1"/>
  <c r="C30" i="1"/>
  <c r="E29" i="1"/>
  <c r="E28" i="1"/>
  <c r="B28" i="1"/>
  <c r="E27" i="1"/>
  <c r="E26" i="1"/>
  <c r="B26" i="1"/>
  <c r="E25" i="1"/>
  <c r="E24" i="1"/>
  <c r="B24" i="1"/>
  <c r="E23" i="1"/>
  <c r="E22" i="1"/>
  <c r="E21" i="1"/>
  <c r="E20" i="1"/>
  <c r="B20" i="1"/>
  <c r="E19" i="1"/>
  <c r="E14" i="1"/>
  <c r="C14" i="1"/>
  <c r="E12" i="1"/>
  <c r="E11" i="1"/>
  <c r="B11" i="1"/>
  <c r="E10" i="1"/>
  <c r="E9" i="1"/>
  <c r="E8" i="1"/>
  <c r="E6" i="1"/>
  <c r="E5" i="1"/>
  <c r="E4" i="1"/>
  <c r="B4" i="1"/>
  <c r="E3" i="1"/>
  <c r="B22" i="1"/>
  <c r="B3" i="1"/>
  <c r="B5" i="1"/>
  <c r="B9" i="1"/>
  <c r="C21" i="27"/>
  <c r="C20" i="27"/>
  <c r="C19" i="27"/>
  <c r="C18" i="27"/>
  <c r="C17" i="27"/>
  <c r="C16" i="27"/>
  <c r="C12" i="27"/>
  <c r="C11" i="27"/>
  <c r="C10" i="27"/>
  <c r="C9" i="27"/>
  <c r="C8" i="27"/>
  <c r="C7" i="27"/>
  <c r="C6" i="27"/>
  <c r="C5" i="27"/>
  <c r="C4" i="27"/>
  <c r="C3" i="27"/>
  <c r="C2" i="27"/>
  <c r="E21" i="27"/>
  <c r="E12" i="27"/>
  <c r="C25" i="36"/>
  <c r="C24" i="36"/>
  <c r="C23" i="36"/>
  <c r="C22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3" i="36"/>
  <c r="C2" i="36"/>
  <c r="E25" i="36"/>
  <c r="E18" i="36"/>
  <c r="E29" i="31"/>
  <c r="C41" i="9"/>
  <c r="C40" i="9"/>
  <c r="C39" i="9"/>
  <c r="C38" i="9"/>
  <c r="C37" i="9"/>
  <c r="C36" i="9"/>
  <c r="C35" i="9"/>
  <c r="C34" i="9"/>
  <c r="C33" i="9"/>
  <c r="C32" i="9"/>
  <c r="C31" i="9"/>
  <c r="D41" i="9"/>
  <c r="D40" i="9"/>
  <c r="D39" i="9"/>
  <c r="D38" i="9"/>
  <c r="D37" i="9"/>
  <c r="D36" i="9"/>
  <c r="D35" i="9"/>
  <c r="D34" i="9"/>
  <c r="D33" i="9"/>
  <c r="D32" i="9"/>
  <c r="D31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E41" i="9"/>
  <c r="C15" i="32"/>
  <c r="C14" i="32"/>
  <c r="C13" i="32"/>
  <c r="C12" i="32"/>
  <c r="C7" i="32"/>
  <c r="C6" i="32"/>
  <c r="C5" i="32"/>
  <c r="C4" i="32"/>
  <c r="C3" i="32"/>
  <c r="C2" i="32"/>
  <c r="E15" i="32"/>
  <c r="E8" i="32"/>
  <c r="E13" i="1"/>
  <c r="C26" i="29"/>
  <c r="C25" i="29"/>
  <c r="C21" i="29"/>
  <c r="C20" i="29"/>
  <c r="C19" i="29"/>
  <c r="C18" i="29"/>
  <c r="C17" i="29"/>
  <c r="C16" i="29"/>
  <c r="C15" i="29"/>
  <c r="C14" i="29"/>
  <c r="C13" i="29"/>
  <c r="C12" i="29"/>
  <c r="C11" i="29"/>
  <c r="C9" i="29"/>
  <c r="C7" i="29"/>
  <c r="C6" i="29"/>
  <c r="C5" i="29"/>
  <c r="C4" i="29"/>
  <c r="C3" i="29"/>
  <c r="C2" i="29"/>
  <c r="E26" i="29"/>
  <c r="E21" i="29"/>
  <c r="E7" i="1"/>
  <c r="C38" i="35"/>
  <c r="C37" i="35"/>
  <c r="C36" i="35"/>
  <c r="C35" i="35"/>
  <c r="C34" i="35"/>
  <c r="C33" i="35"/>
  <c r="C32" i="35"/>
  <c r="C31" i="35"/>
  <c r="C30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C2" i="35"/>
  <c r="E38" i="35"/>
  <c r="E26" i="35"/>
  <c r="C29" i="31"/>
  <c r="C28" i="31"/>
  <c r="C27" i="31"/>
  <c r="C26" i="31"/>
  <c r="C25" i="31"/>
  <c r="C24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C3" i="31"/>
  <c r="C2" i="31"/>
  <c r="E20" i="31"/>
  <c r="E19" i="31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E27" i="9"/>
  <c r="E26" i="9"/>
  <c r="C17" i="33"/>
  <c r="C16" i="33"/>
  <c r="C15" i="33"/>
  <c r="C14" i="33"/>
  <c r="C13" i="33"/>
  <c r="C12" i="33"/>
  <c r="C8" i="33"/>
  <c r="C7" i="33"/>
  <c r="C6" i="33"/>
  <c r="C5" i="33"/>
  <c r="C4" i="33"/>
  <c r="C3" i="33"/>
  <c r="C2" i="33"/>
  <c r="E17" i="33"/>
  <c r="E8" i="33"/>
  <c r="C26" i="28"/>
  <c r="C25" i="28"/>
  <c r="C24" i="28"/>
  <c r="C23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2" i="28"/>
  <c r="C19" i="26"/>
  <c r="C18" i="26"/>
  <c r="C17" i="26"/>
  <c r="C16" i="26"/>
  <c r="C15" i="26"/>
  <c r="C10" i="26"/>
  <c r="C9" i="26"/>
  <c r="C8" i="26"/>
  <c r="C7" i="26"/>
  <c r="C6" i="26"/>
  <c r="C5" i="26"/>
  <c r="C4" i="26"/>
  <c r="C3" i="26"/>
  <c r="C2" i="26"/>
  <c r="C28" i="34"/>
  <c r="C27" i="34"/>
  <c r="C26" i="34"/>
  <c r="C25" i="34"/>
  <c r="C24" i="34"/>
  <c r="C23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4" i="34"/>
  <c r="C3" i="34"/>
  <c r="C2" i="34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3" i="25"/>
  <c r="C2" i="25"/>
  <c r="E21" i="25"/>
  <c r="E2" i="1"/>
  <c r="F21" i="25"/>
  <c r="D19" i="30"/>
  <c r="D18" i="30"/>
  <c r="D17" i="30"/>
  <c r="D16" i="30"/>
  <c r="D11" i="30"/>
  <c r="D10" i="30"/>
  <c r="D9" i="30"/>
  <c r="D8" i="30"/>
  <c r="D7" i="30"/>
  <c r="D6" i="30"/>
  <c r="D5" i="30"/>
  <c r="D4" i="30"/>
  <c r="D3" i="30"/>
  <c r="D2" i="30"/>
  <c r="B19" i="30"/>
  <c r="B11" i="30"/>
  <c r="B10" i="30"/>
  <c r="B7" i="30"/>
  <c r="B6" i="30"/>
  <c r="B5" i="30"/>
  <c r="B4" i="30"/>
  <c r="B3" i="30"/>
  <c r="B2" i="30"/>
  <c r="D15" i="32"/>
  <c r="D14" i="32"/>
  <c r="D13" i="32"/>
  <c r="D12" i="32"/>
  <c r="D8" i="32"/>
  <c r="D7" i="32"/>
  <c r="D6" i="32"/>
  <c r="D5" i="32"/>
  <c r="D4" i="32"/>
  <c r="D3" i="32"/>
  <c r="D2" i="32"/>
  <c r="B15" i="32"/>
  <c r="B14" i="32"/>
  <c r="B12" i="32"/>
  <c r="B7" i="32"/>
  <c r="B6" i="32"/>
  <c r="B5" i="32"/>
  <c r="B4" i="32"/>
  <c r="B3" i="32"/>
  <c r="B2" i="32"/>
  <c r="D28" i="34"/>
  <c r="D27" i="34"/>
  <c r="D26" i="34"/>
  <c r="D25" i="34"/>
  <c r="D24" i="34"/>
  <c r="D23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B28" i="34"/>
  <c r="B27" i="34"/>
  <c r="B23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3" i="34"/>
  <c r="D17" i="33"/>
  <c r="D16" i="33"/>
  <c r="D15" i="33"/>
  <c r="D14" i="33"/>
  <c r="D13" i="33"/>
  <c r="D12" i="33"/>
  <c r="D8" i="33"/>
  <c r="D7" i="33"/>
  <c r="D6" i="33"/>
  <c r="D5" i="33"/>
  <c r="D4" i="33"/>
  <c r="D3" i="33"/>
  <c r="D2" i="33"/>
  <c r="B17" i="33"/>
  <c r="B16" i="33"/>
  <c r="B14" i="33"/>
  <c r="B13" i="33"/>
  <c r="B12" i="33"/>
  <c r="B8" i="33"/>
  <c r="B7" i="33"/>
  <c r="B6" i="33"/>
  <c r="B5" i="33"/>
  <c r="B4" i="33"/>
  <c r="B3" i="33"/>
  <c r="B2" i="33"/>
  <c r="B14" i="38"/>
  <c r="B13" i="38"/>
  <c r="D25" i="36"/>
  <c r="D24" i="36"/>
  <c r="D23" i="36"/>
  <c r="D22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B18" i="36"/>
  <c r="B17" i="36"/>
  <c r="B15" i="36"/>
  <c r="B14" i="36"/>
  <c r="B10" i="36"/>
  <c r="B9" i="36"/>
  <c r="B8" i="36"/>
  <c r="B7" i="36"/>
  <c r="B6" i="36"/>
  <c r="B5" i="36"/>
  <c r="D29" i="31"/>
  <c r="D28" i="31"/>
  <c r="D27" i="31"/>
  <c r="D26" i="31"/>
  <c r="D25" i="31"/>
  <c r="D24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  <c r="B29" i="31"/>
  <c r="B28" i="31"/>
  <c r="B27" i="31"/>
  <c r="B26" i="31"/>
  <c r="B25" i="31"/>
  <c r="B24" i="31"/>
  <c r="B20" i="31"/>
  <c r="B19" i="31"/>
  <c r="B18" i="31"/>
  <c r="B17" i="31"/>
  <c r="B16" i="31"/>
  <c r="B15" i="31"/>
  <c r="B14" i="31"/>
  <c r="B12" i="31"/>
  <c r="B11" i="31"/>
  <c r="B10" i="31"/>
  <c r="B9" i="31"/>
  <c r="B8" i="31"/>
  <c r="B7" i="31"/>
  <c r="B6" i="31"/>
  <c r="B4" i="31"/>
  <c r="B3" i="31"/>
  <c r="D26" i="29"/>
  <c r="D25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B26" i="29"/>
  <c r="B25" i="29"/>
  <c r="B21" i="29"/>
  <c r="B20" i="29"/>
  <c r="B19" i="29"/>
  <c r="B18" i="29"/>
  <c r="B17" i="29"/>
  <c r="B16" i="29"/>
  <c r="B15" i="29"/>
  <c r="B14" i="29"/>
  <c r="B13" i="29"/>
  <c r="B11" i="29"/>
  <c r="B9" i="29"/>
  <c r="B7" i="29"/>
  <c r="B6" i="29"/>
  <c r="B5" i="29"/>
  <c r="B3" i="29"/>
  <c r="B2" i="29"/>
  <c r="D37" i="35"/>
  <c r="D36" i="35"/>
  <c r="D35" i="35"/>
  <c r="D34" i="35"/>
  <c r="D33" i="35"/>
  <c r="D32" i="35"/>
  <c r="D31" i="35"/>
  <c r="D30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5"/>
  <c r="B37" i="35"/>
  <c r="B33" i="35"/>
  <c r="B32" i="35"/>
  <c r="B30" i="35"/>
  <c r="B25" i="35"/>
  <c r="B24" i="35"/>
  <c r="B23" i="35"/>
  <c r="B22" i="35"/>
  <c r="B21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5" i="35"/>
  <c r="B4" i="35"/>
  <c r="B3" i="35"/>
  <c r="B2" i="35"/>
  <c r="D26" i="28"/>
  <c r="D25" i="28"/>
  <c r="D24" i="28"/>
  <c r="D23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B18" i="28"/>
  <c r="B17" i="28"/>
  <c r="B13" i="28"/>
  <c r="B12" i="28"/>
  <c r="B7" i="28"/>
  <c r="B5" i="28"/>
  <c r="D21" i="27"/>
  <c r="D20" i="27"/>
  <c r="D19" i="27"/>
  <c r="D18" i="27"/>
  <c r="D17" i="27"/>
  <c r="D16" i="27"/>
  <c r="D12" i="27"/>
  <c r="D11" i="27"/>
  <c r="D10" i="27"/>
  <c r="D9" i="27"/>
  <c r="D8" i="27"/>
  <c r="D7" i="27"/>
  <c r="D6" i="27"/>
  <c r="D5" i="27"/>
  <c r="D4" i="27"/>
  <c r="D3" i="27"/>
  <c r="D2" i="27"/>
  <c r="B21" i="27"/>
  <c r="B20" i="27"/>
  <c r="B18" i="27"/>
  <c r="B16" i="27"/>
  <c r="B12" i="27"/>
  <c r="B11" i="27"/>
  <c r="B9" i="27"/>
  <c r="B8" i="27"/>
  <c r="B7" i="27"/>
  <c r="B6" i="27"/>
  <c r="B5" i="27"/>
  <c r="B4" i="27"/>
  <c r="B3" i="27"/>
  <c r="B2" i="27"/>
  <c r="D19" i="26"/>
  <c r="D18" i="26"/>
  <c r="D17" i="26"/>
  <c r="D16" i="26"/>
  <c r="D15" i="26"/>
  <c r="D10" i="26"/>
  <c r="D9" i="26"/>
  <c r="D8" i="26"/>
  <c r="D7" i="26"/>
  <c r="D6" i="26"/>
  <c r="D5" i="26"/>
  <c r="D4" i="26"/>
  <c r="D3" i="26"/>
  <c r="D2" i="26"/>
  <c r="B19" i="26"/>
  <c r="B18" i="26"/>
  <c r="B15" i="26"/>
  <c r="B10" i="26"/>
  <c r="B9" i="26"/>
  <c r="B8" i="26"/>
  <c r="B7" i="26"/>
  <c r="B6" i="26"/>
  <c r="B4" i="26"/>
  <c r="B2" i="26"/>
  <c r="B21" i="25"/>
  <c r="B20" i="25"/>
  <c r="B19" i="25"/>
  <c r="B17" i="25"/>
  <c r="B16" i="25"/>
  <c r="B13" i="25"/>
  <c r="B12" i="25"/>
  <c r="B11" i="25"/>
  <c r="B10" i="25"/>
  <c r="B8" i="25"/>
  <c r="B7" i="25"/>
  <c r="B6" i="25"/>
  <c r="B5" i="25"/>
  <c r="B4" i="25"/>
  <c r="B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D10" i="1"/>
  <c r="D4" i="1"/>
  <c r="D2" i="9"/>
  <c r="B27" i="9"/>
  <c r="B33" i="9"/>
  <c r="B32" i="9"/>
  <c r="B31" i="9"/>
  <c r="B26" i="9"/>
  <c r="B25" i="9"/>
  <c r="B23" i="9"/>
  <c r="B22" i="9"/>
  <c r="B21" i="9"/>
  <c r="B20" i="9"/>
  <c r="B19" i="9"/>
  <c r="B18" i="9"/>
  <c r="B16" i="9"/>
  <c r="B15" i="9"/>
  <c r="B14" i="9"/>
  <c r="B13" i="9"/>
  <c r="B12" i="9"/>
  <c r="B11" i="9"/>
  <c r="B10" i="9"/>
  <c r="B9" i="9"/>
  <c r="B8" i="9"/>
  <c r="B7" i="9"/>
  <c r="B6" i="9"/>
  <c r="B5" i="9"/>
  <c r="B3" i="9"/>
  <c r="B2" i="9"/>
  <c r="F19" i="30"/>
  <c r="F12" i="30"/>
  <c r="D12" i="30"/>
  <c r="F15" i="32"/>
  <c r="F8" i="32"/>
  <c r="F28" i="34"/>
  <c r="F18" i="34"/>
  <c r="F17" i="34"/>
  <c r="F8" i="34"/>
  <c r="F6" i="34"/>
  <c r="F3" i="34"/>
  <c r="F19" i="34"/>
  <c r="F17" i="33"/>
  <c r="F8" i="33"/>
  <c r="F14" i="38"/>
  <c r="F26" i="1"/>
  <c r="F25" i="2"/>
  <c r="D25" i="2"/>
  <c r="F18" i="36"/>
  <c r="F23" i="2"/>
  <c r="D23" i="2"/>
  <c r="F20" i="31"/>
  <c r="F29" i="31"/>
  <c r="F21" i="29"/>
  <c r="F38" i="35"/>
  <c r="D38" i="35"/>
  <c r="F26" i="35"/>
  <c r="D26" i="35"/>
  <c r="F19" i="28"/>
  <c r="D19" i="28"/>
  <c r="F21" i="27"/>
  <c r="F12" i="27"/>
  <c r="F19" i="26"/>
  <c r="F10" i="26"/>
  <c r="F20" i="25"/>
  <c r="F19" i="25"/>
  <c r="F13" i="25"/>
  <c r="F12" i="25"/>
  <c r="F10" i="25"/>
  <c r="F8" i="25"/>
  <c r="F7" i="25"/>
  <c r="F4" i="25"/>
  <c r="F2" i="25"/>
  <c r="F41" i="9"/>
  <c r="F26" i="9"/>
  <c r="F27" i="9"/>
  <c r="F30" i="1"/>
  <c r="F29" i="1"/>
  <c r="B29" i="1"/>
  <c r="F27" i="1"/>
  <c r="D27" i="1"/>
  <c r="F25" i="1"/>
  <c r="D25" i="1"/>
  <c r="F24" i="1"/>
  <c r="D24" i="1"/>
  <c r="F23" i="1"/>
  <c r="B23" i="1"/>
  <c r="F21" i="1"/>
  <c r="D21" i="1"/>
  <c r="F20" i="1"/>
  <c r="D20" i="1"/>
  <c r="F13" i="1"/>
  <c r="F11" i="1"/>
  <c r="D11" i="1"/>
  <c r="F9" i="1"/>
  <c r="F8" i="1"/>
  <c r="B8" i="1"/>
  <c r="F7" i="1"/>
  <c r="F4" i="1"/>
  <c r="F43" i="2"/>
  <c r="F42" i="2"/>
  <c r="B42" i="2"/>
  <c r="F41" i="2"/>
  <c r="F40" i="2"/>
  <c r="B40" i="2"/>
  <c r="F39" i="2"/>
  <c r="F38" i="2"/>
  <c r="B38" i="2"/>
  <c r="F37" i="2"/>
  <c r="F36" i="2"/>
  <c r="B36" i="2"/>
  <c r="F31" i="2"/>
  <c r="F29" i="2"/>
  <c r="D29" i="2"/>
  <c r="F28" i="2"/>
  <c r="F27" i="2"/>
  <c r="D27" i="2"/>
  <c r="F26" i="2"/>
  <c r="F24" i="2"/>
  <c r="F22" i="2"/>
  <c r="F21" i="2"/>
  <c r="D21" i="2"/>
  <c r="F20" i="2"/>
  <c r="D20" i="2"/>
  <c r="F19" i="2"/>
  <c r="D19" i="2"/>
  <c r="F17" i="2"/>
  <c r="D17" i="2"/>
  <c r="F16" i="2"/>
  <c r="D16" i="2"/>
  <c r="F15" i="2"/>
  <c r="B15" i="2"/>
  <c r="F14" i="2"/>
  <c r="F13" i="2"/>
  <c r="B13" i="2"/>
  <c r="F10" i="2"/>
  <c r="F9" i="2"/>
  <c r="D9" i="2"/>
  <c r="F8" i="2"/>
  <c r="F7" i="2"/>
  <c r="D7" i="2"/>
  <c r="F6" i="2"/>
  <c r="F5" i="2"/>
  <c r="D5" i="2"/>
  <c r="F4" i="2"/>
  <c r="F3" i="2"/>
  <c r="D3" i="2"/>
  <c r="F2" i="2"/>
  <c r="D2" i="2"/>
  <c r="P30" i="2"/>
  <c r="N30" i="2"/>
  <c r="M30" i="2"/>
  <c r="L30" i="2"/>
  <c r="K30" i="2"/>
  <c r="J30" i="2"/>
  <c r="I30" i="2"/>
  <c r="H30" i="2"/>
  <c r="G30" i="2"/>
  <c r="P31" i="2"/>
  <c r="P32" i="2"/>
  <c r="O31" i="2"/>
  <c r="N31" i="2"/>
  <c r="M31" i="2"/>
  <c r="L31" i="2"/>
  <c r="K31" i="2"/>
  <c r="J31" i="2"/>
  <c r="I31" i="2"/>
  <c r="H31" i="2"/>
  <c r="H19" i="28"/>
  <c r="G36" i="2"/>
  <c r="G37" i="2"/>
  <c r="G38" i="2"/>
  <c r="G39" i="2"/>
  <c r="G40" i="2"/>
  <c r="G41" i="2"/>
  <c r="G42" i="2"/>
  <c r="G43" i="2"/>
  <c r="G5" i="2"/>
  <c r="G2" i="2"/>
  <c r="G3" i="2"/>
  <c r="G3" i="34"/>
  <c r="G4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8" i="34"/>
  <c r="G31" i="2"/>
  <c r="G19" i="26"/>
  <c r="G19" i="1"/>
  <c r="G20" i="1"/>
  <c r="G21" i="1"/>
  <c r="G38" i="35"/>
  <c r="G22" i="1"/>
  <c r="G31" i="1"/>
  <c r="G23" i="1"/>
  <c r="G29" i="31"/>
  <c r="G24" i="1"/>
  <c r="G25" i="1"/>
  <c r="G14" i="38"/>
  <c r="G17" i="33"/>
  <c r="G28" i="1"/>
  <c r="G29" i="1"/>
  <c r="G30" i="1"/>
  <c r="G12" i="30"/>
  <c r="G14" i="1"/>
  <c r="G21" i="25"/>
  <c r="G2" i="1"/>
  <c r="G10" i="26"/>
  <c r="G3" i="1"/>
  <c r="G12" i="27"/>
  <c r="G4" i="1"/>
  <c r="G5" i="1"/>
  <c r="G26" i="35"/>
  <c r="G21" i="29"/>
  <c r="G20" i="31"/>
  <c r="G9" i="1"/>
  <c r="G8" i="33"/>
  <c r="G11" i="1"/>
  <c r="G19" i="34"/>
  <c r="G12" i="1"/>
  <c r="G13" i="1"/>
  <c r="G27" i="9"/>
  <c r="H19" i="1"/>
  <c r="H21" i="27"/>
  <c r="H20" i="1"/>
  <c r="H21" i="1"/>
  <c r="H38" i="35"/>
  <c r="H22" i="1"/>
  <c r="H31" i="1"/>
  <c r="H26" i="29"/>
  <c r="H23" i="1"/>
  <c r="H24" i="1"/>
  <c r="H25" i="36"/>
  <c r="H25" i="1"/>
  <c r="H14" i="38"/>
  <c r="H26" i="1"/>
  <c r="H17" i="33"/>
  <c r="H27" i="1"/>
  <c r="H28" i="34"/>
  <c r="H28" i="1"/>
  <c r="H29" i="1"/>
  <c r="H30" i="1"/>
  <c r="H43" i="2"/>
  <c r="H42" i="2"/>
  <c r="H39" i="2"/>
  <c r="H23" i="2"/>
  <c r="H19" i="2"/>
  <c r="H18" i="2"/>
  <c r="H17" i="2"/>
  <c r="H14" i="2"/>
  <c r="H13" i="2"/>
  <c r="H12" i="2"/>
  <c r="H10" i="2"/>
  <c r="H9" i="2"/>
  <c r="H21" i="25"/>
  <c r="H2" i="1"/>
  <c r="H3" i="1"/>
  <c r="H12" i="27"/>
  <c r="H4" i="1"/>
  <c r="H5" i="1"/>
  <c r="H26" i="35"/>
  <c r="H6" i="1"/>
  <c r="H15" i="1"/>
  <c r="H21" i="29"/>
  <c r="H7" i="1"/>
  <c r="H20" i="31"/>
  <c r="H8" i="1"/>
  <c r="H18" i="36"/>
  <c r="H9" i="1"/>
  <c r="H8" i="33"/>
  <c r="H11" i="1"/>
  <c r="H19" i="34"/>
  <c r="H12" i="1"/>
  <c r="H13" i="1"/>
  <c r="H14" i="1"/>
  <c r="G41" i="9"/>
  <c r="H41" i="2"/>
  <c r="H40" i="2"/>
  <c r="H38" i="2"/>
  <c r="H37" i="2"/>
  <c r="H36" i="2"/>
  <c r="H29" i="2"/>
  <c r="H28" i="2"/>
  <c r="H27" i="2"/>
  <c r="H25" i="2"/>
  <c r="H24" i="2"/>
  <c r="H22" i="2"/>
  <c r="H21" i="2"/>
  <c r="H20" i="2"/>
  <c r="H16" i="2"/>
  <c r="H15" i="2"/>
  <c r="H11" i="2"/>
  <c r="H8" i="2"/>
  <c r="H7" i="2"/>
  <c r="H5" i="2"/>
  <c r="H2" i="2"/>
  <c r="H27" i="9"/>
  <c r="I21" i="25"/>
  <c r="I2" i="1"/>
  <c r="I3" i="1"/>
  <c r="K10" i="26"/>
  <c r="K3" i="1"/>
  <c r="M10" i="26"/>
  <c r="M3" i="1"/>
  <c r="O10" i="26"/>
  <c r="O3" i="1"/>
  <c r="I12" i="27"/>
  <c r="I4" i="1"/>
  <c r="Q12" i="27"/>
  <c r="Q4" i="1"/>
  <c r="I19" i="28"/>
  <c r="I5" i="1"/>
  <c r="K19" i="28"/>
  <c r="K5" i="1"/>
  <c r="M19" i="28"/>
  <c r="M5" i="1"/>
  <c r="N5" i="1"/>
  <c r="O19" i="28"/>
  <c r="O5" i="1"/>
  <c r="I20" i="31"/>
  <c r="I8" i="1"/>
  <c r="I8" i="33"/>
  <c r="I11" i="1"/>
  <c r="I19" i="1"/>
  <c r="I26" i="28"/>
  <c r="I21" i="1"/>
  <c r="I24" i="1"/>
  <c r="I25" i="1"/>
  <c r="K26" i="35"/>
  <c r="K6" i="1"/>
  <c r="K15" i="1"/>
  <c r="H41" i="9"/>
  <c r="H26" i="2"/>
  <c r="H6" i="2"/>
  <c r="H4" i="2"/>
  <c r="H3" i="2"/>
  <c r="I43" i="2"/>
  <c r="O4" i="2"/>
  <c r="N4" i="2"/>
  <c r="M4" i="2"/>
  <c r="L4" i="2"/>
  <c r="K4" i="2"/>
  <c r="J4" i="2"/>
  <c r="I4" i="2"/>
  <c r="I36" i="2"/>
  <c r="I37" i="2"/>
  <c r="I38" i="2"/>
  <c r="I39" i="2"/>
  <c r="I40" i="2"/>
  <c r="I41" i="2"/>
  <c r="I42" i="2"/>
  <c r="I14" i="38"/>
  <c r="I26" i="1"/>
  <c r="I13" i="1"/>
  <c r="I18" i="36"/>
  <c r="I9" i="1"/>
  <c r="M38" i="35"/>
  <c r="M22" i="1"/>
  <c r="M31" i="1"/>
  <c r="L38" i="35"/>
  <c r="K38" i="35"/>
  <c r="K22" i="1"/>
  <c r="K31" i="1"/>
  <c r="J38" i="35"/>
  <c r="J22" i="1"/>
  <c r="I38" i="35"/>
  <c r="I22" i="1"/>
  <c r="I31" i="1"/>
  <c r="I26" i="35"/>
  <c r="I6" i="1"/>
  <c r="I15" i="1"/>
  <c r="I21" i="29"/>
  <c r="I7" i="1"/>
  <c r="I19" i="34"/>
  <c r="I12" i="1"/>
  <c r="I12" i="30"/>
  <c r="I14" i="1"/>
  <c r="I41" i="9"/>
  <c r="M24" i="1"/>
  <c r="I27" i="9"/>
  <c r="I21" i="27"/>
  <c r="I20" i="1"/>
  <c r="I26" i="29"/>
  <c r="I23" i="1"/>
  <c r="I28" i="34"/>
  <c r="I28" i="1"/>
  <c r="I19" i="30"/>
  <c r="I30" i="1"/>
  <c r="I17" i="33"/>
  <c r="I27" i="1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32" i="2"/>
  <c r="I3" i="2"/>
  <c r="I2" i="2"/>
  <c r="R22" i="1"/>
  <c r="Q22" i="1"/>
  <c r="Q31" i="1"/>
  <c r="P22" i="1"/>
  <c r="O22" i="1"/>
  <c r="O31" i="1"/>
  <c r="N22" i="1"/>
  <c r="L22" i="1"/>
  <c r="L31" i="1"/>
  <c r="L14" i="38"/>
  <c r="L26" i="1"/>
  <c r="N14" i="38"/>
  <c r="M14" i="38"/>
  <c r="M26" i="1"/>
  <c r="K14" i="38"/>
  <c r="K26" i="1"/>
  <c r="J14" i="38"/>
  <c r="J12" i="30"/>
  <c r="J13" i="1"/>
  <c r="J21" i="25"/>
  <c r="J2" i="1"/>
  <c r="J10" i="26"/>
  <c r="J3" i="1"/>
  <c r="J12" i="27"/>
  <c r="J4" i="1"/>
  <c r="J19" i="28"/>
  <c r="J5" i="1"/>
  <c r="J26" i="35"/>
  <c r="J6" i="1"/>
  <c r="J21" i="29"/>
  <c r="J7" i="1"/>
  <c r="J20" i="31"/>
  <c r="J8" i="1"/>
  <c r="J18" i="36"/>
  <c r="J9" i="1"/>
  <c r="J8" i="33"/>
  <c r="J11" i="1"/>
  <c r="J19" i="34"/>
  <c r="J12" i="1"/>
  <c r="J14" i="1"/>
  <c r="J27" i="9"/>
  <c r="J43" i="2"/>
  <c r="J42" i="2"/>
  <c r="J41" i="2"/>
  <c r="J40" i="2"/>
  <c r="J44" i="2"/>
  <c r="J39" i="2"/>
  <c r="J36" i="2"/>
  <c r="J37" i="2"/>
  <c r="J38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3" i="2"/>
  <c r="J32" i="2"/>
  <c r="J2" i="2"/>
  <c r="J28" i="34"/>
  <c r="J21" i="27"/>
  <c r="J20" i="1"/>
  <c r="J26" i="29"/>
  <c r="J17" i="33"/>
  <c r="J30" i="1"/>
  <c r="J27" i="1"/>
  <c r="J23" i="1"/>
  <c r="J26" i="28"/>
  <c r="J21" i="1"/>
  <c r="J19" i="26"/>
  <c r="J41" i="9"/>
  <c r="J25" i="36"/>
  <c r="J25" i="1"/>
  <c r="K17" i="33"/>
  <c r="K27" i="1"/>
  <c r="K8" i="33"/>
  <c r="K15" i="32"/>
  <c r="K8" i="32"/>
  <c r="K13" i="1"/>
  <c r="K43" i="2"/>
  <c r="K42" i="2"/>
  <c r="K41" i="2"/>
  <c r="K40" i="2"/>
  <c r="K39" i="2"/>
  <c r="K44" i="2"/>
  <c r="K38" i="2"/>
  <c r="K37" i="2"/>
  <c r="K36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32" i="2"/>
  <c r="K3" i="2"/>
  <c r="K2" i="2"/>
  <c r="O21" i="1"/>
  <c r="N25" i="1"/>
  <c r="N21" i="1"/>
  <c r="M25" i="1"/>
  <c r="M21" i="1"/>
  <c r="L25" i="1"/>
  <c r="L21" i="1"/>
  <c r="K11" i="1"/>
  <c r="K20" i="31"/>
  <c r="K27" i="9"/>
  <c r="K28" i="34"/>
  <c r="K28" i="1"/>
  <c r="K19" i="34"/>
  <c r="K25" i="36"/>
  <c r="K25" i="1"/>
  <c r="K18" i="36"/>
  <c r="K9" i="1"/>
  <c r="K26" i="29"/>
  <c r="K23" i="1"/>
  <c r="K21" i="29"/>
  <c r="K7" i="1"/>
  <c r="K21" i="27"/>
  <c r="K20" i="1"/>
  <c r="K12" i="27"/>
  <c r="K4" i="1"/>
  <c r="K26" i="28"/>
  <c r="K21" i="1"/>
  <c r="K19" i="30"/>
  <c r="K30" i="1"/>
  <c r="K12" i="30"/>
  <c r="K14" i="1"/>
  <c r="K19" i="26"/>
  <c r="K19" i="1"/>
  <c r="K21" i="25"/>
  <c r="K2" i="1"/>
  <c r="K8" i="1"/>
  <c r="K12" i="1"/>
  <c r="L41" i="9"/>
  <c r="M41" i="9"/>
  <c r="N41" i="9"/>
  <c r="O41" i="9"/>
  <c r="P41" i="9"/>
  <c r="Q41" i="9"/>
  <c r="R41" i="9"/>
  <c r="K41" i="9"/>
  <c r="L27" i="9"/>
  <c r="L43" i="2"/>
  <c r="L42" i="2"/>
  <c r="L41" i="2"/>
  <c r="L40" i="2"/>
  <c r="L44" i="2"/>
  <c r="L39" i="2"/>
  <c r="L38" i="2"/>
  <c r="L37" i="2"/>
  <c r="L36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2" i="2"/>
  <c r="L3" i="2"/>
  <c r="L32" i="2"/>
  <c r="L5" i="2"/>
  <c r="L19" i="30"/>
  <c r="L30" i="1"/>
  <c r="L12" i="30"/>
  <c r="L14" i="1"/>
  <c r="L15" i="32"/>
  <c r="L29" i="1"/>
  <c r="L8" i="32"/>
  <c r="L17" i="33"/>
  <c r="L27" i="1"/>
  <c r="L8" i="33"/>
  <c r="L11" i="1"/>
  <c r="L21" i="25"/>
  <c r="L2" i="1"/>
  <c r="L10" i="26"/>
  <c r="L3" i="1"/>
  <c r="L12" i="27"/>
  <c r="L4" i="1"/>
  <c r="L19" i="28"/>
  <c r="L5" i="1"/>
  <c r="L26" i="35"/>
  <c r="L6" i="1"/>
  <c r="L15" i="1"/>
  <c r="L21" i="29"/>
  <c r="L7" i="1"/>
  <c r="L20" i="31"/>
  <c r="L8" i="1"/>
  <c r="L18" i="36"/>
  <c r="L9" i="1"/>
  <c r="L19" i="34"/>
  <c r="L12" i="1"/>
  <c r="L13" i="1"/>
  <c r="L21" i="27"/>
  <c r="L20" i="1"/>
  <c r="L19" i="26"/>
  <c r="L19" i="1"/>
  <c r="L26" i="29"/>
  <c r="L23" i="1"/>
  <c r="L24" i="1"/>
  <c r="L28" i="34"/>
  <c r="L28" i="1"/>
  <c r="P20" i="2"/>
  <c r="O20" i="2"/>
  <c r="N20" i="2"/>
  <c r="M20" i="2"/>
  <c r="N29" i="2"/>
  <c r="N28" i="2"/>
  <c r="N27" i="2"/>
  <c r="N26" i="2"/>
  <c r="N25" i="2"/>
  <c r="N24" i="2"/>
  <c r="N23" i="2"/>
  <c r="N22" i="2"/>
  <c r="N21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3" i="2"/>
  <c r="N2" i="2"/>
  <c r="M43" i="2"/>
  <c r="M42" i="2"/>
  <c r="M41" i="2"/>
  <c r="M40" i="2"/>
  <c r="M44" i="2"/>
  <c r="M39" i="2"/>
  <c r="M38" i="2"/>
  <c r="M37" i="2"/>
  <c r="M36" i="2"/>
  <c r="M29" i="2"/>
  <c r="M28" i="2"/>
  <c r="M27" i="2"/>
  <c r="M26" i="2"/>
  <c r="M25" i="2"/>
  <c r="M24" i="2"/>
  <c r="M23" i="2"/>
  <c r="M22" i="2"/>
  <c r="M21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32" i="2"/>
  <c r="M3" i="2"/>
  <c r="M2" i="2"/>
  <c r="M20" i="31"/>
  <c r="M8" i="1"/>
  <c r="M27" i="9"/>
  <c r="M21" i="29"/>
  <c r="M7" i="1"/>
  <c r="M26" i="29"/>
  <c r="M23" i="1"/>
  <c r="N26" i="29"/>
  <c r="N23" i="1"/>
  <c r="M18" i="36"/>
  <c r="M9" i="1"/>
  <c r="M26" i="35"/>
  <c r="M6" i="1"/>
  <c r="M15" i="1"/>
  <c r="M21" i="25"/>
  <c r="M2" i="1"/>
  <c r="M21" i="27"/>
  <c r="M20" i="1"/>
  <c r="M12" i="27"/>
  <c r="M4" i="1"/>
  <c r="M19" i="26"/>
  <c r="M19" i="1"/>
  <c r="M17" i="33"/>
  <c r="M27" i="1"/>
  <c r="M8" i="33"/>
  <c r="M11" i="1"/>
  <c r="M28" i="34"/>
  <c r="M28" i="1"/>
  <c r="M19" i="34"/>
  <c r="M12" i="1"/>
  <c r="M15" i="32"/>
  <c r="M29" i="1"/>
  <c r="M8" i="32"/>
  <c r="M13" i="1"/>
  <c r="M19" i="30"/>
  <c r="M30" i="1"/>
  <c r="M12" i="30"/>
  <c r="M14" i="1"/>
  <c r="N21" i="29"/>
  <c r="N7" i="1"/>
  <c r="N17" i="33"/>
  <c r="N27" i="1"/>
  <c r="N8" i="33"/>
  <c r="N11" i="1"/>
  <c r="N27" i="9"/>
  <c r="O9" i="2"/>
  <c r="N26" i="35"/>
  <c r="N6" i="1"/>
  <c r="N15" i="1"/>
  <c r="N29" i="31"/>
  <c r="N24" i="1"/>
  <c r="N42" i="2"/>
  <c r="N43" i="2"/>
  <c r="N41" i="2"/>
  <c r="N40" i="2"/>
  <c r="N39" i="2"/>
  <c r="N44" i="2"/>
  <c r="N38" i="2"/>
  <c r="N37" i="2"/>
  <c r="N36" i="2"/>
  <c r="P40" i="2"/>
  <c r="P26" i="2"/>
  <c r="P24" i="2"/>
  <c r="P18" i="2"/>
  <c r="P17" i="2"/>
  <c r="P15" i="2"/>
  <c r="P14" i="2"/>
  <c r="P12" i="2"/>
  <c r="P11" i="2"/>
  <c r="P10" i="2"/>
  <c r="P6" i="2"/>
  <c r="P4" i="2"/>
  <c r="P3" i="2"/>
  <c r="N15" i="32"/>
  <c r="N29" i="1"/>
  <c r="N8" i="32"/>
  <c r="N13" i="1"/>
  <c r="N21" i="27"/>
  <c r="N20" i="1"/>
  <c r="N12" i="27"/>
  <c r="N4" i="1"/>
  <c r="N20" i="31"/>
  <c r="N8" i="1"/>
  <c r="N28" i="34"/>
  <c r="N28" i="1"/>
  <c r="N19" i="34"/>
  <c r="N12" i="1"/>
  <c r="N19" i="30"/>
  <c r="N30" i="1"/>
  <c r="N12" i="30"/>
  <c r="N14" i="1"/>
  <c r="N19" i="26"/>
  <c r="N19" i="1"/>
  <c r="N10" i="26"/>
  <c r="N3" i="1"/>
  <c r="N21" i="25"/>
  <c r="N2" i="1"/>
  <c r="N18" i="36"/>
  <c r="N9" i="1"/>
  <c r="O17" i="34"/>
  <c r="O30" i="2"/>
  <c r="P19" i="34"/>
  <c r="P12" i="1"/>
  <c r="Q19" i="34"/>
  <c r="Q12" i="1"/>
  <c r="R19" i="34"/>
  <c r="R12" i="1"/>
  <c r="R20" i="31"/>
  <c r="R8" i="1"/>
  <c r="O8" i="33"/>
  <c r="O11" i="1"/>
  <c r="P12" i="30"/>
  <c r="P14" i="1"/>
  <c r="P2" i="2"/>
  <c r="P5" i="2"/>
  <c r="P7" i="2"/>
  <c r="P8" i="2"/>
  <c r="P13" i="2"/>
  <c r="P16" i="2"/>
  <c r="P19" i="2"/>
  <c r="P21" i="2"/>
  <c r="P22" i="2"/>
  <c r="P23" i="2"/>
  <c r="P25" i="2"/>
  <c r="P27" i="2"/>
  <c r="P28" i="2"/>
  <c r="P29" i="2"/>
  <c r="O29" i="2"/>
  <c r="O28" i="2"/>
  <c r="O27" i="2"/>
  <c r="O26" i="2"/>
  <c r="O25" i="2"/>
  <c r="O24" i="2"/>
  <c r="O23" i="2"/>
  <c r="O22" i="2"/>
  <c r="O21" i="2"/>
  <c r="O19" i="2"/>
  <c r="O18" i="2"/>
  <c r="O17" i="2"/>
  <c r="O16" i="2"/>
  <c r="O15" i="2"/>
  <c r="O14" i="2"/>
  <c r="O13" i="2"/>
  <c r="O12" i="2"/>
  <c r="O11" i="2"/>
  <c r="O10" i="2"/>
  <c r="O8" i="2"/>
  <c r="O7" i="2"/>
  <c r="O27" i="9"/>
  <c r="O3" i="2"/>
  <c r="O5" i="2"/>
  <c r="O2" i="2"/>
  <c r="O6" i="2"/>
  <c r="O36" i="2"/>
  <c r="O37" i="2"/>
  <c r="O38" i="2"/>
  <c r="O39" i="2"/>
  <c r="O40" i="2"/>
  <c r="O41" i="2"/>
  <c r="O43" i="2"/>
  <c r="O26" i="35"/>
  <c r="O6" i="1"/>
  <c r="O15" i="1"/>
  <c r="O19" i="26"/>
  <c r="O19" i="1"/>
  <c r="O17" i="33"/>
  <c r="O27" i="1"/>
  <c r="O28" i="34"/>
  <c r="O28" i="1"/>
  <c r="O21" i="25"/>
  <c r="O2" i="1"/>
  <c r="O19" i="30"/>
  <c r="O30" i="1"/>
  <c r="O12" i="30"/>
  <c r="O14" i="1"/>
  <c r="O21" i="29"/>
  <c r="O7" i="1"/>
  <c r="O26" i="29"/>
  <c r="O23" i="1"/>
  <c r="R21" i="27"/>
  <c r="R20" i="1"/>
  <c r="Q21" i="27"/>
  <c r="Q20" i="1"/>
  <c r="P21" i="27"/>
  <c r="P20" i="1"/>
  <c r="O21" i="27"/>
  <c r="O20" i="1"/>
  <c r="O12" i="27"/>
  <c r="O4" i="1"/>
  <c r="O20" i="31"/>
  <c r="O8" i="1"/>
  <c r="O25" i="36"/>
  <c r="O25" i="1"/>
  <c r="O18" i="36"/>
  <c r="O9" i="1"/>
  <c r="O15" i="32"/>
  <c r="O29" i="1"/>
  <c r="O8" i="32"/>
  <c r="O13" i="1"/>
  <c r="O29" i="31"/>
  <c r="O24" i="1"/>
  <c r="P41" i="2"/>
  <c r="P38" i="2"/>
  <c r="P37" i="2"/>
  <c r="P36" i="2"/>
  <c r="R25" i="36"/>
  <c r="R25" i="1"/>
  <c r="Q25" i="36"/>
  <c r="Q25" i="1"/>
  <c r="P25" i="36"/>
  <c r="P25" i="1"/>
  <c r="R18" i="36"/>
  <c r="R9" i="1"/>
  <c r="Q18" i="36"/>
  <c r="Q9" i="1"/>
  <c r="P18" i="36"/>
  <c r="P9" i="1"/>
  <c r="R28" i="34"/>
  <c r="R28" i="1"/>
  <c r="Q28" i="34"/>
  <c r="Q28" i="1"/>
  <c r="P28" i="34"/>
  <c r="P28" i="1"/>
  <c r="R17" i="33"/>
  <c r="R27" i="1"/>
  <c r="Q17" i="33"/>
  <c r="Q27" i="1"/>
  <c r="P17" i="33"/>
  <c r="P27" i="1"/>
  <c r="R8" i="33"/>
  <c r="R11" i="1"/>
  <c r="Q8" i="33"/>
  <c r="Q11" i="1"/>
  <c r="P8" i="33"/>
  <c r="P11" i="1"/>
  <c r="R15" i="32"/>
  <c r="R29" i="1"/>
  <c r="Q15" i="32"/>
  <c r="Q29" i="1"/>
  <c r="P15" i="32"/>
  <c r="P29" i="1"/>
  <c r="R8" i="32"/>
  <c r="R13" i="1"/>
  <c r="Q8" i="32"/>
  <c r="Q13" i="1"/>
  <c r="P8" i="32"/>
  <c r="P13" i="1"/>
  <c r="P29" i="31"/>
  <c r="P24" i="1"/>
  <c r="R29" i="31"/>
  <c r="R24" i="1"/>
  <c r="Q29" i="31"/>
  <c r="Q24" i="1"/>
  <c r="Q20" i="31"/>
  <c r="Q8" i="1"/>
  <c r="P20" i="31"/>
  <c r="P8" i="1"/>
  <c r="R19" i="26"/>
  <c r="R19" i="1"/>
  <c r="Q19" i="26"/>
  <c r="Q19" i="1"/>
  <c r="P19" i="26"/>
  <c r="P19" i="1"/>
  <c r="R21" i="29"/>
  <c r="R7" i="1"/>
  <c r="Q21" i="29"/>
  <c r="Q7" i="1"/>
  <c r="R12" i="30"/>
  <c r="R14" i="1"/>
  <c r="Q12" i="30"/>
  <c r="Q14" i="1"/>
  <c r="P19" i="30"/>
  <c r="P30" i="1"/>
  <c r="Q19" i="30"/>
  <c r="Q30" i="1"/>
  <c r="R26" i="29"/>
  <c r="R23" i="1"/>
  <c r="Q26" i="29"/>
  <c r="Q23" i="1"/>
  <c r="P26" i="29"/>
  <c r="P23" i="1"/>
  <c r="R25" i="28"/>
  <c r="R23" i="28"/>
  <c r="R26" i="28"/>
  <c r="R21" i="1"/>
  <c r="P25" i="28"/>
  <c r="P43" i="2"/>
  <c r="P23" i="28"/>
  <c r="P39" i="2"/>
  <c r="Q23" i="28"/>
  <c r="Q26" i="28"/>
  <c r="Q21" i="1"/>
  <c r="P26" i="28"/>
  <c r="P21" i="1"/>
  <c r="R19" i="28"/>
  <c r="R5" i="1"/>
  <c r="Q19" i="28"/>
  <c r="Q5" i="1"/>
  <c r="R12" i="27"/>
  <c r="R4" i="1"/>
  <c r="P12" i="27"/>
  <c r="P4" i="1"/>
  <c r="R10" i="26"/>
  <c r="R3" i="1"/>
  <c r="R21" i="25"/>
  <c r="R2" i="1"/>
  <c r="Q10" i="26"/>
  <c r="Q3" i="1"/>
  <c r="P10" i="26"/>
  <c r="P3" i="1"/>
  <c r="P21" i="25"/>
  <c r="P2" i="1"/>
  <c r="P19" i="28"/>
  <c r="P5" i="1"/>
  <c r="P21" i="29"/>
  <c r="P7" i="1"/>
  <c r="Q21" i="25"/>
  <c r="Q2" i="1"/>
  <c r="P27" i="9"/>
  <c r="Q27" i="9"/>
  <c r="R27" i="9"/>
  <c r="R19" i="30"/>
  <c r="R30" i="1"/>
  <c r="K24" i="1"/>
  <c r="K29" i="1"/>
  <c r="J19" i="1"/>
  <c r="J28" i="1"/>
  <c r="J26" i="1"/>
  <c r="J24" i="1"/>
  <c r="I29" i="1"/>
  <c r="J29" i="1"/>
  <c r="O19" i="34"/>
  <c r="O12" i="1"/>
  <c r="P31" i="1"/>
  <c r="G6" i="1"/>
  <c r="G15" i="1"/>
  <c r="P44" i="2"/>
  <c r="D30" i="1"/>
  <c r="D13" i="1"/>
  <c r="D29" i="1"/>
  <c r="B27" i="1"/>
  <c r="D9" i="1"/>
  <c r="D8" i="1"/>
  <c r="D36" i="2"/>
  <c r="D38" i="2"/>
  <c r="D22" i="2"/>
  <c r="D37" i="2"/>
  <c r="D7" i="1"/>
  <c r="D23" i="1"/>
  <c r="B27" i="2"/>
  <c r="D6" i="2"/>
  <c r="B5" i="2"/>
  <c r="N32" i="2"/>
  <c r="D28" i="2"/>
  <c r="D24" i="2"/>
  <c r="D40" i="2"/>
  <c r="D8" i="2"/>
  <c r="B19" i="2"/>
  <c r="B25" i="2"/>
  <c r="O32" i="2"/>
  <c r="R31" i="1"/>
  <c r="N31" i="1"/>
  <c r="J31" i="1"/>
  <c r="Q15" i="1"/>
  <c r="P15" i="1"/>
  <c r="R15" i="1"/>
  <c r="J15" i="1"/>
  <c r="F12" i="2"/>
  <c r="B12" i="2"/>
  <c r="F19" i="1"/>
  <c r="F12" i="1"/>
  <c r="F28" i="1"/>
  <c r="G8" i="1"/>
  <c r="G7" i="1"/>
  <c r="G27" i="1"/>
  <c r="G26" i="1"/>
  <c r="F6" i="1"/>
  <c r="B6" i="1"/>
  <c r="F11" i="2"/>
  <c r="D11" i="2"/>
  <c r="F18" i="2"/>
  <c r="F3" i="1"/>
  <c r="F5" i="1"/>
  <c r="F30" i="2"/>
  <c r="D30" i="2"/>
  <c r="D28" i="1"/>
  <c r="B12" i="1"/>
  <c r="D12" i="1"/>
  <c r="D6" i="1"/>
  <c r="D5" i="1"/>
  <c r="D3" i="1"/>
  <c r="B19" i="1"/>
  <c r="D19" i="1"/>
  <c r="B11" i="2"/>
  <c r="F2" i="1"/>
  <c r="D2" i="1"/>
  <c r="B41" i="9"/>
  <c r="I44" i="2"/>
  <c r="O44" i="2"/>
  <c r="G32" i="2"/>
  <c r="D15" i="2"/>
  <c r="D39" i="2"/>
  <c r="H32" i="2"/>
  <c r="H44" i="2"/>
  <c r="G44" i="2"/>
  <c r="B38" i="35"/>
  <c r="D18" i="2"/>
  <c r="B17" i="2"/>
  <c r="D43" i="2"/>
  <c r="B9" i="2"/>
  <c r="F22" i="1"/>
  <c r="D13" i="2"/>
  <c r="D41" i="2"/>
  <c r="D10" i="2"/>
  <c r="D14" i="2"/>
  <c r="F44" i="2"/>
  <c r="D26" i="2"/>
  <c r="B26" i="35"/>
  <c r="D31" i="2"/>
  <c r="D4" i="2"/>
  <c r="B19" i="28"/>
  <c r="D22" i="1"/>
  <c r="F31" i="1"/>
  <c r="D44" i="2"/>
  <c r="D31" i="1"/>
  <c r="B7" i="1"/>
  <c r="C7" i="1"/>
  <c r="C13" i="1"/>
  <c r="B13" i="1"/>
  <c r="C8" i="32"/>
  <c r="B8" i="32"/>
  <c r="D12" i="2"/>
  <c r="F32" i="2"/>
  <c r="D32" i="2"/>
  <c r="B30" i="2"/>
  <c r="F14" i="1"/>
  <c r="B12" i="30"/>
  <c r="E44" i="2"/>
  <c r="C44" i="2"/>
  <c r="B39" i="2"/>
  <c r="E31" i="1"/>
  <c r="C31" i="1"/>
  <c r="B30" i="1"/>
  <c r="E32" i="2"/>
  <c r="C32" i="2"/>
  <c r="B31" i="1"/>
  <c r="B44" i="2"/>
  <c r="D14" i="1"/>
  <c r="B14" i="1"/>
  <c r="F15" i="1"/>
  <c r="D15" i="1"/>
  <c r="B2" i="1"/>
  <c r="E15" i="1"/>
  <c r="C2" i="1"/>
  <c r="C23" i="2"/>
  <c r="B32" i="2"/>
  <c r="C3" i="2"/>
  <c r="B18" i="2"/>
  <c r="B31" i="2"/>
  <c r="C21" i="25"/>
  <c r="B10" i="2"/>
  <c r="C15" i="1"/>
  <c r="B15" i="1"/>
</calcChain>
</file>

<file path=xl/sharedStrings.xml><?xml version="1.0" encoding="utf-8"?>
<sst xmlns="http://schemas.openxmlformats.org/spreadsheetml/2006/main" count="523" uniqueCount="180">
  <si>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</si>
  <si>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</si>
  <si>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</si>
  <si>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</si>
  <si>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</si>
  <si>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</si>
  <si>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</si>
  <si>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</si>
  <si>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</si>
  <si>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</si>
  <si>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</si>
  <si>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</si>
  <si>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</si>
  <si>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</si>
  <si>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</si>
  <si>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</si>
  <si>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</si>
  <si>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</si>
  <si>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</si>
  <si>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</si>
  <si>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</si>
  <si>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</si>
  <si>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Pink Lady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</si>
  <si>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</si>
  <si>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</si>
  <si>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</si>
  <si>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</si>
  <si>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</si>
  <si>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</si>
  <si>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</si>
  <si>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</si>
  <si>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</si>
  <si>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</si>
  <si>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</si>
  <si>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</si>
  <si>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</si>
  <si>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</si>
  <si>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</si>
  <si>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</si>
  <si>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</si>
  <si>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</si>
  <si>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</si>
  <si>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</si>
  <si>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</si>
  <si>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</si>
  <si>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</si>
  <si>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</si>
  <si>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</si>
  <si>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</si>
  <si>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</si>
  <si>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</si>
  <si>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</si>
  <si>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</si>
  <si>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</si>
  <si>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</si>
  <si>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</si>
  <si>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</si>
  <si>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</si>
  <si>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</si>
  <si>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</si>
  <si>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</si>
  <si>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</si>
  <si>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</si>
  <si>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</si>
  <si>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</si>
  <si>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</si>
  <si>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</si>
  <si>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</si>
  <si>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</si>
  <si>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</si>
  <si>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</si>
  <si>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</si>
  <si>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</si>
  <si>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</si>
  <si>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</si>
  <si>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</si>
  <si>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</si>
  <si>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</si>
  <si>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</si>
  <si>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</si>
  <si>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</si>
  <si>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</si>
  <si>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</si>
  <si>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English Apples &amp; Pears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</si>
  <si>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</si>
  <si>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</si>
  <si>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</si>
  <si>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</si>
  <si>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</si>
  <si>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</si>
  <si>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</si>
  <si>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</si>
  <si>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</si>
  <si>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</si>
  <si>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</si>
  <si>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</si>
  <si>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</si>
  <si>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</si>
  <si>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</si>
  <si>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</si>
  <si>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</si>
  <si>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</si>
  <si>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</si>
  <si>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</si>
  <si>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</si>
  <si>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</si>
  <si>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</si>
  <si>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</si>
  <si>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</si>
  <si>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</si>
  <si>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</si>
  <si>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</si>
  <si>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</si>
  <si>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</si>
  <si>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</si>
  <si>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</si>
  <si>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</si>
  <si>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</si>
  <si>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</si>
  <si>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</si>
  <si>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</si>
  <si>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</si>
  <si>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</si>
  <si>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Mc Intosh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</si>
  <si>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</si>
  <si>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</si>
  <si>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</si>
  <si>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</si>
  <si>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</si>
  <si>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</si>
  <si>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</si>
  <si>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</si>
  <si>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</si>
  <si>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</si>
  <si>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</si>
  <si>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</si>
  <si>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</si>
  <si>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</si>
  <si>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</si>
  <si>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</si>
  <si>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</si>
  <si>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</si>
  <si>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</si>
  <si>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</si>
  <si>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</si>
  <si>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MAY</t>
  </si>
  <si>
    <t>Pear Stocks (Ton)*</t>
  </si>
  <si>
    <t>* Other varieties than Conference available in such small quantities, they have been summed in 'others'.</t>
  </si>
  <si>
    <t>Portugal:</t>
  </si>
  <si>
    <t>ANP - Associação Nacional de Produtores de Pera Rocha</t>
  </si>
  <si>
    <t>Golden Delicius</t>
  </si>
  <si>
    <t>Portugal</t>
  </si>
  <si>
    <t>Rocha</t>
  </si>
  <si>
    <t xml:space="preserve">* Other new varieties: Ariane, Belgica, Cameo, Diwa, Greenstar, Goldrush, Honey Crunch, Jazz, Junami, Kanzi, Mairac, Rubens, Tentation (temptation), Wellant, ... </t>
  </si>
  <si>
    <t>Choupette</t>
  </si>
  <si>
    <t>Concorde</t>
  </si>
  <si>
    <t>Evelina</t>
  </si>
  <si>
    <t>Ligol</t>
  </si>
  <si>
    <t>AFRUCAT</t>
  </si>
  <si>
    <t>Doyenne du Comice</t>
  </si>
  <si>
    <t>Bohemica</t>
  </si>
  <si>
    <t>Lucasova</t>
  </si>
  <si>
    <t>Honeycrisp</t>
  </si>
  <si>
    <t>** From 12/2014 Cox's is included in others</t>
  </si>
  <si>
    <t>Cox**</t>
  </si>
  <si>
    <t>* Portugal: Rocha stocks are compared per two months, in this case to stocks of 1 March</t>
  </si>
  <si>
    <t>Durondeau</t>
  </si>
  <si>
    <t>** As of the 2016/ 2017 season, the UK works with a different methodology, which is why the figures are not comparable.</t>
  </si>
  <si>
    <t>United Kingdom**</t>
  </si>
  <si>
    <t>Portugal*</t>
  </si>
  <si>
    <t>** As of the 2016/ 2017 season, the UK works with a different methodology, which is why the figures are not comparable. Also the UK stopped counting in May for the 2016/2017 season</t>
  </si>
  <si>
    <t>Forelle</t>
  </si>
  <si>
    <t>Please note that this is an indication. The diference might be +- 15%</t>
  </si>
  <si>
    <t>*The figures for Bramley from Northern Ireland are not yet available.</t>
  </si>
  <si>
    <t>Moved 2019</t>
  </si>
  <si>
    <t>Overview Northern Hemisphere apple and pear stocks 2019-2020</t>
  </si>
  <si>
    <t>%2020/2019</t>
  </si>
  <si>
    <t>Moved 2020</t>
  </si>
  <si>
    <t>Cosmic Crisp</t>
  </si>
  <si>
    <t>* Rocha stocks are compared per two months, in this case to stocks of 1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</si>
</sst>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9" formatCode="0.0%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3" fillId="4" borderId="0" applyNumberFormat="0" applyBorder="0" applyAlignment="0" applyProtection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</cellStyleXfs>
  <cellXfs count="166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3" fontId="0" fillId="0" borderId="0" xfId="0" applyNumberFormat="1" applyFill="1"/>
    <xf numFmtId="0" fontId="0" fillId="0" borderId="0" xfId="0" applyFill="1"/>
    <xf numFmtId="0" fontId="1" fillId="0" borderId="0" xfId="0" applyFont="1" applyFill="1" applyBorder="1"/>
    <xf numFmtId="14" fontId="1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1" fillId="0" borderId="0" xfId="0" applyNumberFormat="1" applyFont="1" applyFill="1" applyBorder="1"/>
    <xf numFmtId="3" fontId="0" fillId="0" borderId="1" xfId="0" applyNumberFormat="1" applyFill="1" applyBorder="1"/>
    <xf numFmtId="0" fontId="0" fillId="0" borderId="0" xfId="0" applyBorder="1"/>
    <xf numFmtId="3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0" fontId="0" fillId="0" borderId="0" xfId="0" quotePrefix="1" applyNumberFormat="1" applyFill="1" applyBorder="1"/>
    <xf numFmtId="0" fontId="0" fillId="0" borderId="0" xfId="0" applyNumberFormat="1" applyFill="1" applyBorder="1"/>
    <xf numFmtId="0" fontId="7" fillId="0" borderId="0" xfId="0" applyFont="1"/>
    <xf numFmtId="0" fontId="0" fillId="2" borderId="2" xfId="0" applyFill="1" applyBorder="1"/>
    <xf numFmtId="0" fontId="0" fillId="2" borderId="2" xfId="0" quotePrefix="1" applyNumberFormat="1" applyFill="1" applyBorder="1"/>
    <xf numFmtId="0" fontId="0" fillId="2" borderId="2" xfId="0" applyNumberFormat="1" applyFill="1" applyBorder="1"/>
    <xf numFmtId="0" fontId="0" fillId="2" borderId="3" xfId="0" quotePrefix="1" applyNumberFormat="1" applyFill="1" applyBorder="1"/>
    <xf numFmtId="0" fontId="1" fillId="2" borderId="4" xfId="0" applyFont="1" applyFill="1" applyBorder="1"/>
    <xf numFmtId="0" fontId="1" fillId="3" borderId="5" xfId="0" applyFont="1" applyFill="1" applyBorder="1"/>
    <xf numFmtId="14" fontId="1" fillId="0" borderId="5" xfId="0" applyNumberFormat="1" applyFont="1" applyFill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99" fontId="0" fillId="3" borderId="0" xfId="0" applyNumberFormat="1" applyFill="1" applyBorder="1"/>
    <xf numFmtId="199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99" fontId="1" fillId="3" borderId="1" xfId="0" applyNumberFormat="1" applyFont="1" applyFill="1" applyBorder="1"/>
    <xf numFmtId="3" fontId="1" fillId="0" borderId="1" xfId="0" applyNumberFormat="1" applyFont="1" applyFill="1" applyBorder="1"/>
    <xf numFmtId="3" fontId="1" fillId="0" borderId="8" xfId="0" applyNumberFormat="1" applyFont="1" applyBorder="1"/>
    <xf numFmtId="199" fontId="0" fillId="0" borderId="0" xfId="0" applyNumberFormat="1" applyFill="1" applyBorder="1"/>
    <xf numFmtId="0" fontId="1" fillId="2" borderId="3" xfId="0" applyNumberFormat="1" applyFont="1" applyFill="1" applyBorder="1"/>
    <xf numFmtId="3" fontId="0" fillId="0" borderId="0" xfId="0" applyNumberFormat="1" applyBorder="1"/>
    <xf numFmtId="3" fontId="0" fillId="0" borderId="7" xfId="0" applyNumberFormat="1" applyFill="1" applyBorder="1"/>
    <xf numFmtId="3" fontId="0" fillId="0" borderId="8" xfId="0" applyNumberFormat="1" applyFill="1" applyBorder="1"/>
    <xf numFmtId="14" fontId="1" fillId="0" borderId="6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3" fontId="3" fillId="0" borderId="0" xfId="0" applyNumberFormat="1" applyFont="1" applyBorder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3" fillId="6" borderId="0" xfId="0" applyNumberFormat="1" applyFont="1" applyFill="1" applyBorder="1"/>
    <xf numFmtId="3" fontId="3" fillId="6" borderId="1" xfId="0" applyNumberFormat="1" applyFont="1" applyFill="1" applyBorder="1"/>
    <xf numFmtId="3" fontId="1" fillId="6" borderId="5" xfId="0" applyNumberFormat="1" applyFont="1" applyFill="1" applyBorder="1"/>
    <xf numFmtId="3" fontId="1" fillId="0" borderId="5" xfId="0" applyNumberFormat="1" applyFont="1" applyBorder="1"/>
    <xf numFmtId="199" fontId="3" fillId="7" borderId="0" xfId="0" applyNumberFormat="1" applyFont="1" applyFill="1" applyBorder="1"/>
    <xf numFmtId="199" fontId="3" fillId="7" borderId="1" xfId="0" applyNumberFormat="1" applyFont="1" applyFill="1" applyBorder="1"/>
    <xf numFmtId="0" fontId="1" fillId="8" borderId="5" xfId="0" applyFont="1" applyFill="1" applyBorder="1"/>
    <xf numFmtId="0" fontId="3" fillId="0" borderId="0" xfId="2"/>
    <xf numFmtId="0" fontId="1" fillId="5" borderId="4" xfId="2" applyFont="1" applyFill="1" applyBorder="1"/>
    <xf numFmtId="0" fontId="3" fillId="0" borderId="0" xfId="2" applyFont="1"/>
    <xf numFmtId="0" fontId="3" fillId="5" borderId="2" xfId="2" applyFont="1" applyFill="1" applyBorder="1"/>
    <xf numFmtId="199" fontId="3" fillId="7" borderId="0" xfId="2" applyNumberFormat="1" applyFont="1" applyFill="1" applyBorder="1"/>
    <xf numFmtId="3" fontId="3" fillId="6" borderId="0" xfId="2" applyNumberFormat="1" applyFont="1" applyFill="1" applyBorder="1"/>
    <xf numFmtId="3" fontId="3" fillId="0" borderId="0" xfId="2" applyNumberFormat="1" applyFont="1" applyBorder="1"/>
    <xf numFmtId="0" fontId="3" fillId="5" borderId="3" xfId="2" applyFont="1" applyFill="1" applyBorder="1"/>
    <xf numFmtId="199" fontId="3" fillId="7" borderId="1" xfId="2" applyNumberFormat="1" applyFont="1" applyFill="1" applyBorder="1"/>
    <xf numFmtId="3" fontId="3" fillId="6" borderId="1" xfId="2" applyNumberFormat="1" applyFont="1" applyFill="1" applyBorder="1"/>
    <xf numFmtId="3" fontId="3" fillId="0" borderId="1" xfId="2" applyNumberFormat="1" applyFont="1" applyBorder="1"/>
    <xf numFmtId="0" fontId="1" fillId="5" borderId="3" xfId="2" applyFont="1" applyFill="1" applyBorder="1"/>
    <xf numFmtId="199" fontId="1" fillId="7" borderId="5" xfId="2" applyNumberFormat="1" applyFont="1" applyFill="1" applyBorder="1"/>
    <xf numFmtId="3" fontId="1" fillId="6" borderId="5" xfId="2" applyNumberFormat="1" applyFont="1" applyFill="1" applyBorder="1"/>
    <xf numFmtId="3" fontId="3" fillId="0" borderId="5" xfId="2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6" xfId="2" applyNumberFormat="1" applyFont="1" applyBorder="1"/>
    <xf numFmtId="0" fontId="0" fillId="2" borderId="3" xfId="0" applyNumberFormat="1" applyFill="1" applyBorder="1"/>
    <xf numFmtId="0" fontId="3" fillId="2" borderId="2" xfId="0" applyNumberFormat="1" applyFont="1" applyFill="1" applyBorder="1"/>
    <xf numFmtId="3" fontId="3" fillId="0" borderId="0" xfId="0" applyNumberFormat="1" applyFont="1"/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0" fontId="14" fillId="0" borderId="0" xfId="0" applyFont="1" applyFill="1" applyBorder="1"/>
    <xf numFmtId="3" fontId="3" fillId="0" borderId="0" xfId="2" applyNumberFormat="1" applyFont="1" applyFill="1" applyBorder="1"/>
    <xf numFmtId="3" fontId="3" fillId="0" borderId="1" xfId="2" applyNumberFormat="1" applyFont="1" applyFill="1" applyBorder="1"/>
    <xf numFmtId="3" fontId="3" fillId="0" borderId="7" xfId="2" applyNumberFormat="1" applyFont="1" applyFill="1" applyBorder="1"/>
    <xf numFmtId="3" fontId="3" fillId="0" borderId="8" xfId="2" applyNumberFormat="1" applyFont="1" applyFill="1" applyBorder="1"/>
    <xf numFmtId="3" fontId="13" fillId="4" borderId="7" xfId="1" applyNumberFormat="1" applyBorder="1"/>
    <xf numFmtId="0" fontId="1" fillId="0" borderId="0" xfId="2" applyFont="1"/>
    <xf numFmtId="199" fontId="1" fillId="7" borderId="1" xfId="0" applyNumberFormat="1" applyFont="1" applyFill="1" applyBorder="1"/>
    <xf numFmtId="0" fontId="1" fillId="0" borderId="0" xfId="0" applyFont="1"/>
    <xf numFmtId="0" fontId="1" fillId="0" borderId="5" xfId="0" applyFont="1" applyFill="1" applyBorder="1"/>
    <xf numFmtId="3" fontId="0" fillId="0" borderId="0" xfId="0" quotePrefix="1" applyNumberFormat="1" applyFill="1" applyBorder="1"/>
    <xf numFmtId="3" fontId="0" fillId="0" borderId="1" xfId="0" quotePrefix="1" applyNumberFormat="1" applyFill="1" applyBorder="1"/>
    <xf numFmtId="199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1" fillId="0" borderId="5" xfId="2" applyNumberFormat="1" applyFont="1" applyFill="1" applyBorder="1"/>
    <xf numFmtId="3" fontId="1" fillId="0" borderId="5" xfId="2" applyNumberFormat="1" applyFont="1" applyBorder="1"/>
    <xf numFmtId="3" fontId="1" fillId="0" borderId="6" xfId="2" applyNumberFormat="1" applyFont="1" applyBorder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5" xfId="0" applyNumberFormat="1" applyFont="1" applyFill="1" applyBorder="1"/>
    <xf numFmtId="0" fontId="3" fillId="0" borderId="0" xfId="0" applyFont="1" applyFill="1"/>
    <xf numFmtId="0" fontId="3" fillId="0" borderId="0" xfId="2" applyFill="1"/>
    <xf numFmtId="199" fontId="1" fillId="7" borderId="1" xfId="2" applyNumberFormat="1" applyFont="1" applyFill="1" applyBorder="1"/>
    <xf numFmtId="199" fontId="3" fillId="7" borderId="5" xfId="2" applyNumberFormat="1" applyFont="1" applyFill="1" applyBorder="1"/>
    <xf numFmtId="3" fontId="1" fillId="0" borderId="6" xfId="0" applyNumberFormat="1" applyFont="1" applyFill="1" applyBorder="1"/>
    <xf numFmtId="0" fontId="3" fillId="5" borderId="9" xfId="2" applyFont="1" applyFill="1" applyBorder="1"/>
    <xf numFmtId="199" fontId="3" fillId="7" borderId="10" xfId="2" applyNumberFormat="1" applyFont="1" applyFill="1" applyBorder="1"/>
    <xf numFmtId="3" fontId="3" fillId="0" borderId="10" xfId="2" applyNumberFormat="1" applyFont="1" applyFill="1" applyBorder="1"/>
    <xf numFmtId="3" fontId="3" fillId="0" borderId="11" xfId="2" applyNumberFormat="1" applyFont="1" applyFill="1" applyBorder="1"/>
    <xf numFmtId="3" fontId="1" fillId="0" borderId="6" xfId="2" applyNumberFormat="1" applyFont="1" applyFill="1" applyBorder="1"/>
    <xf numFmtId="3" fontId="13" fillId="4" borderId="0" xfId="1" applyNumberFormat="1" applyBorder="1"/>
    <xf numFmtId="3" fontId="3" fillId="0" borderId="7" xfId="0" applyNumberFormat="1" applyFont="1" applyFill="1" applyBorder="1" applyAlignment="1">
      <alignment horizontal="right"/>
    </xf>
    <xf numFmtId="3" fontId="1" fillId="6" borderId="1" xfId="0" applyNumberFormat="1" applyFont="1" applyFill="1" applyBorder="1"/>
    <xf numFmtId="3" fontId="1" fillId="0" borderId="1" xfId="2" applyNumberFormat="1" applyFont="1" applyFill="1" applyBorder="1"/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14" fontId="1" fillId="6" borderId="5" xfId="0" applyNumberFormat="1" applyFont="1" applyFill="1" applyBorder="1"/>
    <xf numFmtId="3" fontId="0" fillId="6" borderId="0" xfId="0" applyNumberFormat="1" applyFill="1" applyBorder="1"/>
    <xf numFmtId="3" fontId="0" fillId="6" borderId="1" xfId="0" applyNumberFormat="1" applyFill="1" applyBorder="1"/>
    <xf numFmtId="3" fontId="1" fillId="6" borderId="1" xfId="2" applyNumberFormat="1" applyFont="1" applyFill="1" applyBorder="1"/>
    <xf numFmtId="3" fontId="0" fillId="6" borderId="0" xfId="0" applyNumberFormat="1" applyFill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3" fontId="0" fillId="0" borderId="1" xfId="0" quotePrefix="1" applyNumberFormat="1" applyFill="1" applyBorder="1" applyAlignment="1">
      <alignment horizontal="right"/>
    </xf>
    <xf numFmtId="14" fontId="1" fillId="0" borderId="5" xfId="0" applyNumberFormat="1" applyFont="1" applyFill="1" applyBorder="1"/>
    <xf numFmtId="3" fontId="10" fillId="0" borderId="0" xfId="0" applyNumberFormat="1" applyFont="1" applyFill="1" applyBorder="1" applyAlignment="1">
      <alignment horizontal="center"/>
    </xf>
    <xf numFmtId="0" fontId="12" fillId="0" borderId="0" xfId="0" applyFont="1"/>
    <xf numFmtId="3" fontId="3" fillId="6" borderId="10" xfId="2" applyNumberFormat="1" applyFont="1" applyFill="1" applyBorder="1"/>
    <xf numFmtId="3" fontId="1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left"/>
    </xf>
    <xf numFmtId="3" fontId="0" fillId="8" borderId="0" xfId="0" applyNumberFormat="1" applyFill="1" applyBorder="1"/>
    <xf numFmtId="3" fontId="0" fillId="8" borderId="1" xfId="0" applyNumberFormat="1" applyFill="1" applyBorder="1"/>
    <xf numFmtId="3" fontId="0" fillId="8" borderId="5" xfId="0" applyNumberFormat="1" applyFill="1" applyBorder="1"/>
    <xf numFmtId="3" fontId="3" fillId="8" borderId="0" xfId="0" applyNumberFormat="1" applyFont="1" applyFill="1" applyBorder="1"/>
    <xf numFmtId="3" fontId="3" fillId="8" borderId="1" xfId="0" applyNumberFormat="1" applyFont="1" applyFill="1" applyBorder="1"/>
    <xf numFmtId="3" fontId="3" fillId="8" borderId="5" xfId="0" applyNumberFormat="1" applyFont="1" applyFill="1" applyBorder="1"/>
    <xf numFmtId="3" fontId="0" fillId="8" borderId="0" xfId="0" applyNumberFormat="1" applyFill="1" applyBorder="1" applyAlignment="1">
      <alignment horizontal="right"/>
    </xf>
    <xf numFmtId="3" fontId="0" fillId="8" borderId="1" xfId="0" applyNumberFormat="1" applyFill="1" applyBorder="1" applyAlignment="1">
      <alignment horizontal="right"/>
    </xf>
    <xf numFmtId="0" fontId="1" fillId="2" borderId="4" xfId="0" applyNumberFormat="1" applyFont="1" applyFill="1" applyBorder="1"/>
    <xf numFmtId="199" fontId="1" fillId="3" borderId="5" xfId="0" applyNumberFormat="1" applyFont="1" applyFill="1" applyBorder="1"/>
    <xf numFmtId="3" fontId="1" fillId="0" borderId="6" xfId="0" applyNumberFormat="1" applyFont="1" applyBorder="1"/>
    <xf numFmtId="3" fontId="1" fillId="8" borderId="5" xfId="0" applyNumberFormat="1" applyFont="1" applyFill="1" applyBorder="1"/>
    <xf numFmtId="3" fontId="1" fillId="8" borderId="5" xfId="0" applyNumberFormat="1" applyFont="1" applyFill="1" applyBorder="1" applyAlignment="1">
      <alignment horizontal="right"/>
    </xf>
    <xf numFmtId="199" fontId="3" fillId="0" borderId="0" xfId="2" applyNumberFormat="1" applyFill="1" applyBorder="1"/>
    <xf numFmtId="3" fontId="1" fillId="6" borderId="1" xfId="2" applyNumberFormat="1" applyFont="1" applyFill="1" applyBorder="1"/>
    <xf numFmtId="14" fontId="1" fillId="6" borderId="5" xfId="2" applyNumberFormat="1" applyFont="1" applyFill="1" applyBorder="1"/>
    <xf numFmtId="3" fontId="3" fillId="6" borderId="0" xfId="2" applyNumberFormat="1" applyFill="1" applyBorder="1"/>
    <xf numFmtId="3" fontId="3" fillId="6" borderId="1" xfId="2" applyNumberFormat="1" applyFill="1" applyBorder="1"/>
    <xf numFmtId="3" fontId="1" fillId="6" borderId="1" xfId="2" applyNumberFormat="1" applyFont="1" applyFill="1" applyBorder="1"/>
    <xf numFmtId="14" fontId="1" fillId="6" borderId="5" xfId="2" applyNumberFormat="1" applyFont="1" applyFill="1" applyBorder="1"/>
    <xf numFmtId="3" fontId="3" fillId="6" borderId="0" xfId="2" applyNumberFormat="1" applyFill="1" applyBorder="1"/>
    <xf numFmtId="3" fontId="3" fillId="6" borderId="1" xfId="2" applyNumberFormat="1" applyFill="1" applyBorder="1"/>
  </cellXfs>
  <cellStyles count="7">
    <cellStyle name="Normal 2" xfId="2"/>
    <cellStyle name="Normale 2" xfId="3"/>
    <cellStyle name="Normale 7" xfId="4"/>
    <cellStyle name="Normale 7 2" xfId="5"/>
    <cellStyle name="Normale_4_uesto_pere" xfId="6"/>
    <cellStyle name="Ongeldig" xfId="1" builtinId="27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390525</xdr:colOff>
      <xdr:row>13</xdr:row>
      <xdr:rowOff>142875</xdr:rowOff>
    </xdr:to>
    <xdr:pic>
      <xdr:nvPicPr>
        <xdr:cNvPr id="1821" name="Picture 1">
          <a:extLst>
            <a:ext uri="{FF2B5EF4-FFF2-40B4-BE49-F238E27FC236}">
              <a16:creationId xmlns:a16="http://schemas.microsoft.com/office/drawing/2014/main" id="{FCBA0310-CF58-4373-A68C-5CD4A28C6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2383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ben/Downloads/Stocks%20NH%20Apr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ben/Downloads/Stocks%20NH%20Mar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US"/>
      <sheetName val="EU - country"/>
      <sheetName val="EU - variety"/>
      <sheetName val="Austria"/>
      <sheetName val="Belgium"/>
      <sheetName val="Czech Republic"/>
      <sheetName val="Denmark"/>
      <sheetName val="France"/>
      <sheetName val="Germany"/>
      <sheetName val="Italy"/>
      <sheetName val="Poland"/>
      <sheetName val="Portugal"/>
      <sheetName val="Spain"/>
      <sheetName val="Switzerland"/>
      <sheetName val="Netherlands"/>
      <sheetName val="UK"/>
    </sheetNames>
    <sheetDataSet>
      <sheetData sheetId="0" refreshError="1"/>
      <sheetData sheetId="1">
        <row r="2">
          <cell r="E2">
            <v>3525</v>
          </cell>
          <cell r="F2">
            <v>4116</v>
          </cell>
        </row>
        <row r="3">
          <cell r="E3">
            <v>953</v>
          </cell>
          <cell r="F3">
            <v>2477</v>
          </cell>
        </row>
        <row r="4">
          <cell r="E4">
            <v>0</v>
          </cell>
        </row>
        <row r="5">
          <cell r="E5">
            <v>4211</v>
          </cell>
          <cell r="F5">
            <v>12691</v>
          </cell>
        </row>
        <row r="6">
          <cell r="E6">
            <v>146733</v>
          </cell>
          <cell r="F6">
            <v>119064</v>
          </cell>
        </row>
        <row r="7">
          <cell r="E7">
            <v>235097</v>
          </cell>
          <cell r="F7">
            <v>187094</v>
          </cell>
        </row>
        <row r="8">
          <cell r="E8">
            <v>82838</v>
          </cell>
          <cell r="F8">
            <v>44420</v>
          </cell>
        </row>
        <row r="9">
          <cell r="E9">
            <v>153098</v>
          </cell>
          <cell r="F9">
            <v>114014</v>
          </cell>
        </row>
        <row r="10">
          <cell r="E10">
            <v>85677</v>
          </cell>
          <cell r="F10">
            <v>70546</v>
          </cell>
        </row>
        <row r="11">
          <cell r="E11">
            <v>1448</v>
          </cell>
          <cell r="F11">
            <v>858</v>
          </cell>
        </row>
        <row r="12">
          <cell r="F12">
            <v>4840</v>
          </cell>
        </row>
        <row r="13">
          <cell r="E13">
            <v>1772</v>
          </cell>
          <cell r="F13">
            <v>1696</v>
          </cell>
        </row>
        <row r="14">
          <cell r="E14">
            <v>10443</v>
          </cell>
          <cell r="F14">
            <v>14368</v>
          </cell>
        </row>
        <row r="15">
          <cell r="E15">
            <v>610</v>
          </cell>
          <cell r="F15">
            <v>991</v>
          </cell>
        </row>
        <row r="16">
          <cell r="E16">
            <v>286</v>
          </cell>
          <cell r="F16">
            <v>324</v>
          </cell>
        </row>
        <row r="18">
          <cell r="E18">
            <v>56064</v>
          </cell>
          <cell r="F18">
            <v>56788</v>
          </cell>
        </row>
        <row r="19">
          <cell r="E19">
            <v>260404</v>
          </cell>
          <cell r="F19">
            <v>285996</v>
          </cell>
        </row>
        <row r="20">
          <cell r="E20">
            <v>2801</v>
          </cell>
          <cell r="F20">
            <v>3506</v>
          </cell>
        </row>
        <row r="21">
          <cell r="E21">
            <v>572</v>
          </cell>
          <cell r="F21">
            <v>267</v>
          </cell>
        </row>
        <row r="22">
          <cell r="E22">
            <v>610</v>
          </cell>
          <cell r="F22">
            <v>2039</v>
          </cell>
        </row>
        <row r="23">
          <cell r="E23">
            <v>76</v>
          </cell>
          <cell r="F23">
            <v>210</v>
          </cell>
        </row>
        <row r="25">
          <cell r="E25">
            <v>152</v>
          </cell>
          <cell r="F25">
            <v>362</v>
          </cell>
        </row>
        <row r="26">
          <cell r="E26">
            <v>71956</v>
          </cell>
          <cell r="F26">
            <v>48708</v>
          </cell>
        </row>
        <row r="27">
          <cell r="E27">
            <v>1119326</v>
          </cell>
          <cell r="F27">
            <v>975375</v>
          </cell>
        </row>
        <row r="31">
          <cell r="E31">
            <v>53666</v>
          </cell>
          <cell r="F31">
            <v>55255</v>
          </cell>
        </row>
        <row r="32">
          <cell r="E32">
            <v>3364</v>
          </cell>
          <cell r="F32">
            <v>10086</v>
          </cell>
        </row>
        <row r="33">
          <cell r="E33">
            <v>5789</v>
          </cell>
          <cell r="F33">
            <v>5424</v>
          </cell>
        </row>
        <row r="34">
          <cell r="E34">
            <v>30</v>
          </cell>
          <cell r="F34">
            <v>6</v>
          </cell>
        </row>
        <row r="35">
          <cell r="E35">
            <v>0</v>
          </cell>
          <cell r="F35">
            <v>4</v>
          </cell>
        </row>
        <row r="36">
          <cell r="E36">
            <v>17</v>
          </cell>
          <cell r="F36">
            <v>1</v>
          </cell>
        </row>
        <row r="37">
          <cell r="E37">
            <v>0</v>
          </cell>
          <cell r="F37">
            <v>2</v>
          </cell>
        </row>
        <row r="39">
          <cell r="E39">
            <v>0</v>
          </cell>
          <cell r="F39">
            <v>13</v>
          </cell>
        </row>
        <row r="40">
          <cell r="E40">
            <v>0</v>
          </cell>
          <cell r="F40">
            <v>0</v>
          </cell>
        </row>
        <row r="41">
          <cell r="E41">
            <v>62866</v>
          </cell>
          <cell r="F41">
            <v>70791</v>
          </cell>
        </row>
      </sheetData>
      <sheetData sheetId="2">
        <row r="2">
          <cell r="E2">
            <v>43068</v>
          </cell>
          <cell r="F2">
            <v>73183.839999999997</v>
          </cell>
        </row>
        <row r="3">
          <cell r="E3">
            <v>76208</v>
          </cell>
          <cell r="F3">
            <v>73268</v>
          </cell>
        </row>
        <row r="4">
          <cell r="E4">
            <v>12807</v>
          </cell>
          <cell r="F4">
            <v>26740</v>
          </cell>
        </row>
        <row r="5">
          <cell r="E5">
            <v>624</v>
          </cell>
          <cell r="F5">
            <v>4451</v>
          </cell>
        </row>
        <row r="6">
          <cell r="E6">
            <v>330869</v>
          </cell>
          <cell r="F6">
            <v>305009</v>
          </cell>
        </row>
        <row r="7">
          <cell r="E7">
            <v>121414</v>
          </cell>
          <cell r="F7">
            <v>188961</v>
          </cell>
        </row>
        <row r="8">
          <cell r="E8">
            <v>556714.00613923301</v>
          </cell>
          <cell r="F8">
            <v>692394.59999999986</v>
          </cell>
        </row>
        <row r="9">
          <cell r="E9">
            <v>329000</v>
          </cell>
          <cell r="F9">
            <v>665000</v>
          </cell>
        </row>
        <row r="10">
          <cell r="E10">
            <v>0</v>
          </cell>
        </row>
        <row r="11">
          <cell r="E11">
            <v>147270.06203051447</v>
          </cell>
          <cell r="F11">
            <v>111614</v>
          </cell>
        </row>
        <row r="12">
          <cell r="E12">
            <v>28580</v>
          </cell>
          <cell r="F12">
            <v>37244</v>
          </cell>
        </row>
        <row r="13">
          <cell r="E13">
            <v>89243</v>
          </cell>
          <cell r="F13">
            <v>78571</v>
          </cell>
        </row>
        <row r="14">
          <cell r="E14">
            <v>32235</v>
          </cell>
          <cell r="F14">
            <v>41193</v>
          </cell>
        </row>
        <row r="15">
          <cell r="E15">
            <v>1768032.0681697475</v>
          </cell>
          <cell r="F15">
            <v>2297629.44</v>
          </cell>
        </row>
        <row r="19">
          <cell r="E19">
            <v>58200</v>
          </cell>
          <cell r="F19">
            <v>71097</v>
          </cell>
        </row>
        <row r="20">
          <cell r="E20">
            <v>722</v>
          </cell>
          <cell r="F20">
            <v>1133</v>
          </cell>
        </row>
        <row r="21">
          <cell r="E21">
            <v>19</v>
          </cell>
          <cell r="F21">
            <v>121</v>
          </cell>
        </row>
        <row r="22">
          <cell r="E22">
            <v>980</v>
          </cell>
          <cell r="F22">
            <v>1889</v>
          </cell>
        </row>
        <row r="23">
          <cell r="E23">
            <v>394</v>
          </cell>
          <cell r="F23">
            <v>821</v>
          </cell>
        </row>
        <row r="24">
          <cell r="E24">
            <v>0</v>
          </cell>
          <cell r="F24">
            <v>49434.241774224749</v>
          </cell>
        </row>
        <row r="25">
          <cell r="E25">
            <v>0</v>
          </cell>
          <cell r="F25">
            <v>0</v>
          </cell>
        </row>
        <row r="27">
          <cell r="E27">
            <v>28465.831906892403</v>
          </cell>
          <cell r="F27">
            <v>26398</v>
          </cell>
        </row>
        <row r="28">
          <cell r="E28">
            <v>2459</v>
          </cell>
          <cell r="F28">
            <v>2014</v>
          </cell>
        </row>
        <row r="29">
          <cell r="E29">
            <v>91301</v>
          </cell>
          <cell r="F29">
            <v>107627</v>
          </cell>
        </row>
        <row r="30">
          <cell r="E30">
            <v>50</v>
          </cell>
          <cell r="F30">
            <v>751</v>
          </cell>
        </row>
        <row r="31">
          <cell r="E31">
            <v>182590.83190689242</v>
          </cell>
          <cell r="F31">
            <v>286155.24177422473</v>
          </cell>
        </row>
      </sheetData>
      <sheetData sheetId="3">
        <row r="2">
          <cell r="E2">
            <v>0</v>
          </cell>
          <cell r="F2">
            <v>0</v>
          </cell>
        </row>
        <row r="3">
          <cell r="E3">
            <v>1713</v>
          </cell>
          <cell r="F3">
            <v>6209</v>
          </cell>
        </row>
        <row r="4">
          <cell r="E4">
            <v>62323.380000000005</v>
          </cell>
          <cell r="F4">
            <v>83418.58</v>
          </cell>
        </row>
        <row r="5">
          <cell r="E5">
            <v>11680</v>
          </cell>
          <cell r="F5">
            <v>19800</v>
          </cell>
        </row>
        <row r="6">
          <cell r="E6">
            <v>596</v>
          </cell>
          <cell r="F6">
            <v>1314</v>
          </cell>
        </row>
        <row r="7">
          <cell r="E7">
            <v>0</v>
          </cell>
          <cell r="F7">
            <v>0</v>
          </cell>
        </row>
        <row r="8">
          <cell r="E8">
            <v>128</v>
          </cell>
          <cell r="F8">
            <v>316</v>
          </cell>
        </row>
        <row r="9">
          <cell r="E9">
            <v>58934.3</v>
          </cell>
          <cell r="F9">
            <v>65506.2</v>
          </cell>
        </row>
        <row r="10">
          <cell r="E10">
            <v>53713</v>
          </cell>
          <cell r="F10">
            <v>39955.4</v>
          </cell>
        </row>
        <row r="11">
          <cell r="E11">
            <v>71210.457039495974</v>
          </cell>
          <cell r="F11">
            <v>87706.959999999992</v>
          </cell>
        </row>
        <row r="12">
          <cell r="E12">
            <v>98499.1771706047</v>
          </cell>
          <cell r="F12">
            <v>114199.9</v>
          </cell>
        </row>
        <row r="13">
          <cell r="E13">
            <v>40106</v>
          </cell>
          <cell r="F13">
            <v>41037</v>
          </cell>
        </row>
        <row r="14">
          <cell r="E14">
            <v>646595.18244311097</v>
          </cell>
          <cell r="F14">
            <v>669581.6</v>
          </cell>
        </row>
        <row r="15">
          <cell r="E15">
            <v>70833.895219718353</v>
          </cell>
          <cell r="F15">
            <v>84279.94</v>
          </cell>
        </row>
        <row r="16">
          <cell r="E16">
            <v>0</v>
          </cell>
          <cell r="F16">
            <v>35</v>
          </cell>
        </row>
        <row r="17">
          <cell r="E17">
            <v>89285</v>
          </cell>
          <cell r="F17">
            <v>213639.58000000002</v>
          </cell>
        </row>
        <row r="18">
          <cell r="E18">
            <v>104103.2</v>
          </cell>
          <cell r="F18">
            <v>137900.48000000001</v>
          </cell>
        </row>
        <row r="19">
          <cell r="E19">
            <v>42551</v>
          </cell>
          <cell r="F19">
            <v>61120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5192.5960628237863</v>
          </cell>
          <cell r="F22">
            <v>7615.2</v>
          </cell>
        </row>
        <row r="23">
          <cell r="E23">
            <v>27555.4</v>
          </cell>
          <cell r="F23">
            <v>33669.14</v>
          </cell>
        </row>
        <row r="24">
          <cell r="E24">
            <v>72696.890233993821</v>
          </cell>
          <cell r="F24">
            <v>84837.7</v>
          </cell>
        </row>
        <row r="25">
          <cell r="E25">
            <v>75646</v>
          </cell>
          <cell r="F25">
            <v>71848.38</v>
          </cell>
        </row>
        <row r="26">
          <cell r="E26">
            <v>10914.2</v>
          </cell>
          <cell r="F26">
            <v>17127</v>
          </cell>
        </row>
        <row r="27">
          <cell r="E27">
            <v>40185</v>
          </cell>
          <cell r="F27">
            <v>125724</v>
          </cell>
        </row>
        <row r="28">
          <cell r="E28">
            <v>0</v>
          </cell>
          <cell r="F28">
            <v>407</v>
          </cell>
        </row>
        <row r="29">
          <cell r="E29">
            <v>0</v>
          </cell>
          <cell r="F29">
            <v>12</v>
          </cell>
        </row>
        <row r="30">
          <cell r="E30">
            <v>60642</v>
          </cell>
          <cell r="F30">
            <v>72316.86</v>
          </cell>
        </row>
        <row r="31">
          <cell r="E31">
            <v>122928.39</v>
          </cell>
          <cell r="F31">
            <v>258052.52000000002</v>
          </cell>
        </row>
        <row r="32">
          <cell r="E32">
            <v>1768032.0681697475</v>
          </cell>
          <cell r="F32">
            <v>2297629.4400000004</v>
          </cell>
        </row>
        <row r="36">
          <cell r="E36">
            <v>0</v>
          </cell>
          <cell r="F36">
            <v>26829.819830192278</v>
          </cell>
        </row>
        <row r="37">
          <cell r="E37">
            <v>864.41877300086946</v>
          </cell>
          <cell r="F37">
            <v>612</v>
          </cell>
        </row>
        <row r="38">
          <cell r="E38">
            <v>558.84918783799128</v>
          </cell>
          <cell r="F38">
            <v>1653</v>
          </cell>
        </row>
        <row r="39">
          <cell r="E39">
            <v>174710.65317242671</v>
          </cell>
          <cell r="F39">
            <v>216625.08289117867</v>
          </cell>
        </row>
        <row r="40">
          <cell r="E40">
            <v>42</v>
          </cell>
          <cell r="F40">
            <v>1467.1694059020606</v>
          </cell>
        </row>
        <row r="41">
          <cell r="E41">
            <v>0</v>
          </cell>
          <cell r="F41">
            <v>3798.4529218193002</v>
          </cell>
        </row>
        <row r="43">
          <cell r="E43">
            <v>6414.9107736268306</v>
          </cell>
          <cell r="F43">
            <v>10299.716725132457</v>
          </cell>
        </row>
        <row r="44">
          <cell r="E44">
            <v>182590.83190689239</v>
          </cell>
          <cell r="F44">
            <v>286155.24177422479</v>
          </cell>
        </row>
      </sheetData>
      <sheetData sheetId="4">
        <row r="2">
          <cell r="E2">
            <v>380</v>
          </cell>
          <cell r="F2">
            <v>496.68</v>
          </cell>
        </row>
        <row r="3">
          <cell r="E3">
            <v>0</v>
          </cell>
          <cell r="F3">
            <v>0</v>
          </cell>
        </row>
        <row r="4">
          <cell r="E4">
            <v>3913</v>
          </cell>
          <cell r="F4">
            <v>8500.880000000001</v>
          </cell>
        </row>
        <row r="5">
          <cell r="E5">
            <v>135</v>
          </cell>
          <cell r="F5">
            <v>2462.4</v>
          </cell>
        </row>
        <row r="6">
          <cell r="E6">
            <v>3419</v>
          </cell>
          <cell r="F6">
            <v>6673.86</v>
          </cell>
        </row>
        <row r="7">
          <cell r="E7">
            <v>1382</v>
          </cell>
          <cell r="F7">
            <v>2395.36</v>
          </cell>
        </row>
        <row r="8">
          <cell r="E8">
            <v>6988</v>
          </cell>
          <cell r="F8">
            <v>12591.1</v>
          </cell>
        </row>
        <row r="10">
          <cell r="E10">
            <v>15128</v>
          </cell>
          <cell r="F10">
            <v>17841.5</v>
          </cell>
        </row>
        <row r="11">
          <cell r="E11">
            <v>23</v>
          </cell>
          <cell r="F11">
            <v>15.24</v>
          </cell>
        </row>
        <row r="12">
          <cell r="E12">
            <v>4550</v>
          </cell>
          <cell r="F12">
            <v>8920.58</v>
          </cell>
        </row>
        <row r="13">
          <cell r="E13">
            <v>3125</v>
          </cell>
          <cell r="F13">
            <v>6280.88</v>
          </cell>
        </row>
        <row r="14">
          <cell r="E14">
            <v>8</v>
          </cell>
        </row>
        <row r="15">
          <cell r="E15">
            <v>0</v>
          </cell>
        </row>
        <row r="16">
          <cell r="E16">
            <v>551</v>
          </cell>
          <cell r="F16">
            <v>829.14</v>
          </cell>
        </row>
        <row r="17">
          <cell r="E17">
            <v>1697</v>
          </cell>
          <cell r="F17">
            <v>1549.38</v>
          </cell>
        </row>
        <row r="18">
          <cell r="E18">
            <v>0</v>
          </cell>
          <cell r="F18">
            <v>2.04</v>
          </cell>
        </row>
        <row r="19">
          <cell r="E19">
            <v>519</v>
          </cell>
          <cell r="F19">
            <v>3319.52</v>
          </cell>
        </row>
        <row r="20">
          <cell r="E20">
            <v>1250</v>
          </cell>
          <cell r="F20">
            <v>1305.28</v>
          </cell>
        </row>
        <row r="21">
          <cell r="E21">
            <v>43068</v>
          </cell>
          <cell r="F21">
            <v>73183.839999999997</v>
          </cell>
        </row>
      </sheetData>
      <sheetData sheetId="5">
        <row r="2">
          <cell r="E2">
            <v>0</v>
          </cell>
          <cell r="F2">
            <v>1705</v>
          </cell>
        </row>
        <row r="3">
          <cell r="E3">
            <v>0</v>
          </cell>
          <cell r="F3">
            <v>0</v>
          </cell>
        </row>
        <row r="4">
          <cell r="E4">
            <v>57</v>
          </cell>
          <cell r="F4">
            <v>937</v>
          </cell>
        </row>
        <row r="6">
          <cell r="E6">
            <v>12461</v>
          </cell>
          <cell r="F6">
            <v>6474</v>
          </cell>
        </row>
        <row r="7">
          <cell r="E7">
            <v>34071</v>
          </cell>
          <cell r="F7">
            <v>29222</v>
          </cell>
        </row>
        <row r="8">
          <cell r="E8">
            <v>24764</v>
          </cell>
          <cell r="F8">
            <v>24720</v>
          </cell>
        </row>
        <row r="9">
          <cell r="E9">
            <v>4855</v>
          </cell>
          <cell r="F9">
            <v>10210</v>
          </cell>
        </row>
        <row r="10">
          <cell r="E10">
            <v>76208</v>
          </cell>
          <cell r="F10">
            <v>73268</v>
          </cell>
        </row>
        <row r="15">
          <cell r="E15">
            <v>57992</v>
          </cell>
          <cell r="F15">
            <v>70000</v>
          </cell>
        </row>
        <row r="16">
          <cell r="E16">
            <v>0</v>
          </cell>
          <cell r="F16">
            <v>247</v>
          </cell>
        </row>
        <row r="17">
          <cell r="E17">
            <v>0</v>
          </cell>
          <cell r="F17">
            <v>0</v>
          </cell>
        </row>
        <row r="18">
          <cell r="E18">
            <v>208</v>
          </cell>
          <cell r="F18">
            <v>850</v>
          </cell>
        </row>
        <row r="19">
          <cell r="E19">
            <v>58200</v>
          </cell>
          <cell r="F19">
            <v>71097</v>
          </cell>
        </row>
      </sheetData>
      <sheetData sheetId="6">
        <row r="2">
          <cell r="E2">
            <v>1359</v>
          </cell>
          <cell r="F2">
            <v>2117</v>
          </cell>
        </row>
        <row r="3">
          <cell r="E3">
            <v>710</v>
          </cell>
          <cell r="F3">
            <v>1131</v>
          </cell>
        </row>
        <row r="4">
          <cell r="E4">
            <v>106</v>
          </cell>
          <cell r="F4">
            <v>767</v>
          </cell>
        </row>
        <row r="5">
          <cell r="E5">
            <v>6626</v>
          </cell>
          <cell r="F5">
            <v>8515</v>
          </cell>
        </row>
        <row r="6">
          <cell r="E6">
            <v>1299</v>
          </cell>
          <cell r="F6">
            <v>6246</v>
          </cell>
        </row>
        <row r="7">
          <cell r="E7">
            <v>909</v>
          </cell>
          <cell r="F7">
            <v>3788</v>
          </cell>
        </row>
        <row r="8">
          <cell r="E8">
            <v>686</v>
          </cell>
          <cell r="F8">
            <v>1249</v>
          </cell>
        </row>
        <row r="9">
          <cell r="E9">
            <v>135</v>
          </cell>
          <cell r="F9">
            <v>668</v>
          </cell>
        </row>
        <row r="10">
          <cell r="E10">
            <v>0</v>
          </cell>
          <cell r="F10">
            <v>12</v>
          </cell>
        </row>
        <row r="11">
          <cell r="E11">
            <v>977</v>
          </cell>
          <cell r="F11">
            <v>2247</v>
          </cell>
        </row>
        <row r="12">
          <cell r="E12">
            <v>12807</v>
          </cell>
          <cell r="F12">
            <v>26740</v>
          </cell>
        </row>
        <row r="16">
          <cell r="E16">
            <v>715</v>
          </cell>
          <cell r="F16">
            <v>1085</v>
          </cell>
        </row>
        <row r="17">
          <cell r="E17">
            <v>0</v>
          </cell>
          <cell r="F17">
            <v>0</v>
          </cell>
        </row>
        <row r="18">
          <cell r="E18">
            <v>2</v>
          </cell>
          <cell r="F18">
            <v>19</v>
          </cell>
        </row>
        <row r="19">
          <cell r="E19">
            <v>0</v>
          </cell>
          <cell r="F19">
            <v>20</v>
          </cell>
        </row>
        <row r="20">
          <cell r="E20">
            <v>5</v>
          </cell>
          <cell r="F20">
            <v>9</v>
          </cell>
        </row>
        <row r="21">
          <cell r="E21">
            <v>722</v>
          </cell>
          <cell r="F21">
            <v>1133</v>
          </cell>
        </row>
      </sheetData>
      <sheetData sheetId="7">
        <row r="3">
          <cell r="E3">
            <v>148</v>
          </cell>
          <cell r="F3">
            <v>0</v>
          </cell>
        </row>
        <row r="5">
          <cell r="E5">
            <v>50</v>
          </cell>
          <cell r="F5">
            <v>907</v>
          </cell>
        </row>
        <row r="6">
          <cell r="F6">
            <v>8</v>
          </cell>
        </row>
        <row r="7">
          <cell r="F7">
            <v>135</v>
          </cell>
        </row>
        <row r="10">
          <cell r="F10">
            <v>35</v>
          </cell>
        </row>
        <row r="11">
          <cell r="F11">
            <v>14</v>
          </cell>
        </row>
        <row r="12">
          <cell r="F12">
            <v>0</v>
          </cell>
        </row>
        <row r="13">
          <cell r="F13">
            <v>51</v>
          </cell>
        </row>
        <row r="14">
          <cell r="E14">
            <v>85</v>
          </cell>
          <cell r="F14">
            <v>1733</v>
          </cell>
        </row>
        <row r="17">
          <cell r="F17">
            <v>0</v>
          </cell>
        </row>
        <row r="18">
          <cell r="E18">
            <v>227</v>
          </cell>
          <cell r="F18">
            <v>1510</v>
          </cell>
        </row>
        <row r="19">
          <cell r="E19">
            <v>114</v>
          </cell>
          <cell r="F19">
            <v>58</v>
          </cell>
        </row>
        <row r="23">
          <cell r="E23">
            <v>43922</v>
          </cell>
          <cell r="F23">
            <v>43556</v>
          </cell>
        </row>
        <row r="24">
          <cell r="E24">
            <v>0</v>
          </cell>
          <cell r="F24">
            <v>28</v>
          </cell>
        </row>
        <row r="26">
          <cell r="E26">
            <v>19</v>
          </cell>
          <cell r="F26">
            <v>93</v>
          </cell>
        </row>
      </sheetData>
      <sheetData sheetId="8">
        <row r="2">
          <cell r="E2">
            <v>2670</v>
          </cell>
          <cell r="F2">
            <v>2389</v>
          </cell>
        </row>
        <row r="3">
          <cell r="E3">
            <v>13051</v>
          </cell>
          <cell r="F3">
            <v>11055</v>
          </cell>
        </row>
        <row r="4">
          <cell r="E4">
            <v>251</v>
          </cell>
          <cell r="F4">
            <v>495</v>
          </cell>
        </row>
        <row r="5">
          <cell r="E5">
            <v>13581</v>
          </cell>
          <cell r="F5">
            <v>12526</v>
          </cell>
        </row>
        <row r="6">
          <cell r="E6">
            <v>0</v>
          </cell>
        </row>
        <row r="7">
          <cell r="E7">
            <v>2590</v>
          </cell>
          <cell r="F7">
            <v>3610</v>
          </cell>
        </row>
        <row r="8">
          <cell r="E8">
            <v>36280</v>
          </cell>
          <cell r="F8">
            <v>35323</v>
          </cell>
        </row>
        <row r="9">
          <cell r="E9">
            <v>440</v>
          </cell>
          <cell r="F9">
            <v>390</v>
          </cell>
        </row>
        <row r="10">
          <cell r="E10">
            <v>15301</v>
          </cell>
          <cell r="F10">
            <v>9067</v>
          </cell>
        </row>
        <row r="11">
          <cell r="E11">
            <v>31130</v>
          </cell>
          <cell r="F11">
            <v>39505</v>
          </cell>
        </row>
        <row r="12">
          <cell r="E12">
            <v>128127</v>
          </cell>
          <cell r="F12">
            <v>115089</v>
          </cell>
        </row>
        <row r="13">
          <cell r="E13">
            <v>1905</v>
          </cell>
          <cell r="F13">
            <v>1256</v>
          </cell>
        </row>
        <row r="14">
          <cell r="E14">
            <v>30529</v>
          </cell>
          <cell r="F14">
            <v>30581</v>
          </cell>
        </row>
        <row r="15">
          <cell r="E15">
            <v>3131</v>
          </cell>
          <cell r="F15">
            <v>914</v>
          </cell>
        </row>
        <row r="16">
          <cell r="E16">
            <v>839</v>
          </cell>
          <cell r="F16">
            <v>709</v>
          </cell>
        </row>
        <row r="17">
          <cell r="E17">
            <v>10590</v>
          </cell>
          <cell r="F17">
            <v>6321</v>
          </cell>
        </row>
        <row r="18">
          <cell r="E18">
            <v>10175</v>
          </cell>
          <cell r="F18">
            <v>9649</v>
          </cell>
        </row>
        <row r="19">
          <cell r="E19">
            <v>10134</v>
          </cell>
          <cell r="F19">
            <v>7071</v>
          </cell>
        </row>
        <row r="20">
          <cell r="E20">
            <v>0</v>
          </cell>
          <cell r="F20">
            <v>0</v>
          </cell>
        </row>
        <row r="21">
          <cell r="E21">
            <v>4637</v>
          </cell>
          <cell r="F21">
            <v>4719</v>
          </cell>
        </row>
        <row r="22">
          <cell r="E22">
            <v>738</v>
          </cell>
          <cell r="F22">
            <v>249</v>
          </cell>
        </row>
        <row r="23">
          <cell r="E23">
            <v>8816</v>
          </cell>
          <cell r="F23">
            <v>7145</v>
          </cell>
        </row>
        <row r="24">
          <cell r="E24">
            <v>1107</v>
          </cell>
          <cell r="F24">
            <v>1492</v>
          </cell>
        </row>
        <row r="25">
          <cell r="E25">
            <v>4847</v>
          </cell>
          <cell r="F25">
            <v>5454</v>
          </cell>
        </row>
        <row r="26">
          <cell r="E26">
            <v>330869</v>
          </cell>
          <cell r="F26">
            <v>305009</v>
          </cell>
        </row>
        <row r="30">
          <cell r="E30">
            <v>179</v>
          </cell>
          <cell r="F30">
            <v>271</v>
          </cell>
        </row>
        <row r="32">
          <cell r="E32">
            <v>664</v>
          </cell>
          <cell r="F32">
            <v>874</v>
          </cell>
        </row>
        <row r="33">
          <cell r="E33">
            <v>42</v>
          </cell>
          <cell r="F33">
            <v>230</v>
          </cell>
        </row>
        <row r="34">
          <cell r="E34">
            <v>0</v>
          </cell>
        </row>
        <row r="35">
          <cell r="E35">
            <v>21</v>
          </cell>
          <cell r="F35">
            <v>305</v>
          </cell>
        </row>
        <row r="36">
          <cell r="E36">
            <v>0</v>
          </cell>
        </row>
        <row r="37">
          <cell r="E37">
            <v>74</v>
          </cell>
          <cell r="F37">
            <v>209</v>
          </cell>
        </row>
        <row r="38">
          <cell r="E38">
            <v>980</v>
          </cell>
          <cell r="F38">
            <v>1889</v>
          </cell>
        </row>
      </sheetData>
      <sheetData sheetId="9">
        <row r="2">
          <cell r="E2">
            <v>1331</v>
          </cell>
          <cell r="F2">
            <v>3091</v>
          </cell>
        </row>
        <row r="3">
          <cell r="E3">
            <v>6562</v>
          </cell>
          <cell r="F3">
            <v>11509</v>
          </cell>
        </row>
        <row r="4">
          <cell r="E4">
            <v>0</v>
          </cell>
        </row>
        <row r="5">
          <cell r="E5">
            <v>20873</v>
          </cell>
          <cell r="F5">
            <v>18337</v>
          </cell>
        </row>
        <row r="6">
          <cell r="E6">
            <v>2762</v>
          </cell>
          <cell r="F6">
            <v>5241</v>
          </cell>
        </row>
        <row r="7">
          <cell r="E7">
            <v>5641</v>
          </cell>
          <cell r="F7">
            <v>5539</v>
          </cell>
        </row>
        <row r="8">
          <cell r="F8">
            <v>265</v>
          </cell>
        </row>
        <row r="9">
          <cell r="E9">
            <v>1913</v>
          </cell>
          <cell r="F9">
            <v>2269</v>
          </cell>
        </row>
        <row r="11">
          <cell r="E11">
            <v>2493</v>
          </cell>
          <cell r="F11">
            <v>7444</v>
          </cell>
        </row>
        <row r="13">
          <cell r="E13">
            <v>8512</v>
          </cell>
          <cell r="F13">
            <v>20592</v>
          </cell>
        </row>
        <row r="14">
          <cell r="E14">
            <v>17694</v>
          </cell>
          <cell r="F14">
            <v>34667</v>
          </cell>
        </row>
        <row r="15">
          <cell r="E15">
            <v>3713</v>
          </cell>
          <cell r="F15">
            <v>4455</v>
          </cell>
        </row>
        <row r="16">
          <cell r="E16">
            <v>33949</v>
          </cell>
          <cell r="F16">
            <v>50299</v>
          </cell>
        </row>
        <row r="17">
          <cell r="E17">
            <v>50</v>
          </cell>
          <cell r="F17">
            <v>56</v>
          </cell>
        </row>
        <row r="18">
          <cell r="E18">
            <v>264</v>
          </cell>
          <cell r="F18">
            <v>1210</v>
          </cell>
        </row>
        <row r="19">
          <cell r="E19">
            <v>13811</v>
          </cell>
          <cell r="F19">
            <v>21926</v>
          </cell>
        </row>
        <row r="20">
          <cell r="E20">
            <v>1846</v>
          </cell>
          <cell r="F20">
            <v>2061</v>
          </cell>
        </row>
        <row r="21">
          <cell r="E21">
            <v>121414</v>
          </cell>
          <cell r="F21">
            <v>188961</v>
          </cell>
        </row>
        <row r="25">
          <cell r="E25">
            <v>394</v>
          </cell>
          <cell r="F25">
            <v>821</v>
          </cell>
        </row>
        <row r="26">
          <cell r="E26">
            <v>394</v>
          </cell>
          <cell r="F26">
            <v>821</v>
          </cell>
        </row>
      </sheetData>
      <sheetData sheetId="10">
        <row r="2">
          <cell r="F2">
            <v>0</v>
          </cell>
        </row>
        <row r="3">
          <cell r="E3">
            <v>28090.38</v>
          </cell>
          <cell r="F3">
            <v>37677.699999999997</v>
          </cell>
        </row>
        <row r="4">
          <cell r="E4">
            <v>22654.3</v>
          </cell>
          <cell r="F4">
            <v>30183.200000000001</v>
          </cell>
        </row>
        <row r="5">
          <cell r="F5">
            <v>0</v>
          </cell>
        </row>
        <row r="6">
          <cell r="E6">
            <v>39141.952119609545</v>
          </cell>
          <cell r="F6">
            <v>57310.6</v>
          </cell>
        </row>
        <row r="7">
          <cell r="E7">
            <v>15871.103152349184</v>
          </cell>
          <cell r="F7">
            <v>11299.8</v>
          </cell>
        </row>
        <row r="8">
          <cell r="F8">
            <v>5</v>
          </cell>
        </row>
        <row r="9">
          <cell r="E9">
            <v>314142.23142021155</v>
          </cell>
          <cell r="F9">
            <v>368926.1</v>
          </cell>
        </row>
        <row r="10">
          <cell r="E10">
            <v>27510.53654281146</v>
          </cell>
          <cell r="F10">
            <v>42076.700000000004</v>
          </cell>
        </row>
        <row r="11">
          <cell r="F11">
            <v>40</v>
          </cell>
        </row>
        <row r="12">
          <cell r="E12">
            <v>3997.2</v>
          </cell>
          <cell r="F12">
            <v>4321.6000000000004</v>
          </cell>
        </row>
        <row r="13">
          <cell r="F13">
            <v>0</v>
          </cell>
        </row>
        <row r="14">
          <cell r="E14">
            <v>5192.5960628237863</v>
          </cell>
          <cell r="F14">
            <v>7615.2</v>
          </cell>
        </row>
        <row r="15">
          <cell r="E15">
            <v>21278.400000000001</v>
          </cell>
          <cell r="F15">
            <v>23283</v>
          </cell>
        </row>
        <row r="16">
          <cell r="E16">
            <v>50084.106841427594</v>
          </cell>
          <cell r="F16">
            <v>66756.7</v>
          </cell>
        </row>
        <row r="17">
          <cell r="E17">
            <v>6277.2</v>
          </cell>
          <cell r="F17">
            <v>12227</v>
          </cell>
        </row>
        <row r="18">
          <cell r="F18">
            <v>407</v>
          </cell>
        </row>
        <row r="19">
          <cell r="E19">
            <v>22474</v>
          </cell>
          <cell r="F19">
            <v>30265</v>
          </cell>
        </row>
        <row r="20">
          <cell r="E20">
            <v>556714.00613923301</v>
          </cell>
          <cell r="F20">
            <v>692394.59999999986</v>
          </cell>
        </row>
        <row r="24">
          <cell r="E24">
            <v>0</v>
          </cell>
          <cell r="F24">
            <v>26829.819830192278</v>
          </cell>
        </row>
        <row r="25">
          <cell r="E25">
            <v>0</v>
          </cell>
          <cell r="F25">
            <v>16488.082891178656</v>
          </cell>
        </row>
        <row r="26">
          <cell r="E26">
            <v>0</v>
          </cell>
          <cell r="F26">
            <v>990.1694059020607</v>
          </cell>
        </row>
        <row r="27">
          <cell r="E27">
            <v>0</v>
          </cell>
          <cell r="F27">
            <v>3798.4529218193002</v>
          </cell>
        </row>
        <row r="28">
          <cell r="E28">
            <v>0</v>
          </cell>
          <cell r="F28">
            <v>1327.7167251324565</v>
          </cell>
        </row>
        <row r="29">
          <cell r="E29">
            <v>0</v>
          </cell>
          <cell r="F29">
            <v>49434.241774224749</v>
          </cell>
        </row>
      </sheetData>
      <sheetData sheetId="11">
        <row r="5">
          <cell r="E5">
            <v>15000</v>
          </cell>
          <cell r="F5">
            <v>20000</v>
          </cell>
        </row>
        <row r="6">
          <cell r="E6">
            <v>40000</v>
          </cell>
          <cell r="F6">
            <v>40000</v>
          </cell>
        </row>
        <row r="7">
          <cell r="E7">
            <v>60000</v>
          </cell>
          <cell r="F7">
            <v>70000</v>
          </cell>
        </row>
        <row r="8">
          <cell r="E8">
            <v>80000</v>
          </cell>
          <cell r="F8">
            <v>190000</v>
          </cell>
        </row>
        <row r="9">
          <cell r="E9">
            <v>10000</v>
          </cell>
          <cell r="F9">
            <v>30000</v>
          </cell>
        </row>
        <row r="10">
          <cell r="E10">
            <v>7000</v>
          </cell>
          <cell r="F10">
            <v>65000</v>
          </cell>
        </row>
        <row r="12">
          <cell r="E12">
            <v>2000</v>
          </cell>
          <cell r="F12">
            <v>5000</v>
          </cell>
        </row>
        <row r="13">
          <cell r="E13">
            <v>0</v>
          </cell>
        </row>
        <row r="14">
          <cell r="E14">
            <v>40000</v>
          </cell>
          <cell r="F14">
            <v>20000</v>
          </cell>
        </row>
        <row r="15">
          <cell r="E15">
            <v>40000</v>
          </cell>
          <cell r="F15">
            <v>125000</v>
          </cell>
        </row>
        <row r="17">
          <cell r="E17">
            <v>35000</v>
          </cell>
          <cell r="F17">
            <v>100000</v>
          </cell>
        </row>
        <row r="18">
          <cell r="E18">
            <v>329000</v>
          </cell>
          <cell r="F18">
            <v>665000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</sheetData>
      <sheetData sheetId="12" refreshError="1"/>
      <sheetData sheetId="13">
        <row r="2">
          <cell r="E2">
            <v>12623.504919886429</v>
          </cell>
          <cell r="F2">
            <v>13685</v>
          </cell>
        </row>
        <row r="3">
          <cell r="E3">
            <v>527.07401825552222</v>
          </cell>
          <cell r="F3">
            <v>1886</v>
          </cell>
        </row>
        <row r="4">
          <cell r="E4">
            <v>97811.951022899419</v>
          </cell>
          <cell r="F4">
            <v>69063</v>
          </cell>
        </row>
        <row r="5">
          <cell r="E5">
            <v>12736.358676906897</v>
          </cell>
          <cell r="F5">
            <v>11527</v>
          </cell>
        </row>
        <row r="6">
          <cell r="E6">
            <v>11792.783392566229</v>
          </cell>
          <cell r="F6">
            <v>9761</v>
          </cell>
        </row>
        <row r="7">
          <cell r="E7">
            <v>11778.39</v>
          </cell>
          <cell r="F7">
            <v>5692</v>
          </cell>
        </row>
        <row r="8">
          <cell r="E8">
            <v>147270.06203051447</v>
          </cell>
          <cell r="F8">
            <v>111614</v>
          </cell>
        </row>
        <row r="12">
          <cell r="E12">
            <v>864.41877300086946</v>
          </cell>
          <cell r="F12">
            <v>612</v>
          </cell>
        </row>
        <row r="13">
          <cell r="E13">
            <v>558.84918783799128</v>
          </cell>
          <cell r="F13">
            <v>1653</v>
          </cell>
        </row>
        <row r="14">
          <cell r="E14">
            <v>26486.653172426712</v>
          </cell>
          <cell r="F14">
            <v>23562</v>
          </cell>
        </row>
        <row r="15">
          <cell r="E15">
            <v>1.1347652449601837</v>
          </cell>
        </row>
        <row r="16">
          <cell r="E16">
            <v>554.77600838187107</v>
          </cell>
          <cell r="F16">
            <v>571</v>
          </cell>
        </row>
        <row r="17">
          <cell r="E17">
            <v>28465.831906892403</v>
          </cell>
          <cell r="F17">
            <v>26398</v>
          </cell>
        </row>
      </sheetData>
      <sheetData sheetId="14">
        <row r="2">
          <cell r="E2">
            <v>0</v>
          </cell>
          <cell r="F2">
            <v>5</v>
          </cell>
        </row>
        <row r="3">
          <cell r="E3">
            <v>3543</v>
          </cell>
          <cell r="F3">
            <v>6000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10542</v>
          </cell>
          <cell r="F6">
            <v>11228</v>
          </cell>
        </row>
        <row r="7">
          <cell r="E7">
            <v>15</v>
          </cell>
          <cell r="F7">
            <v>98</v>
          </cell>
        </row>
        <row r="8">
          <cell r="E8">
            <v>7079</v>
          </cell>
          <cell r="F8">
            <v>6893</v>
          </cell>
        </row>
        <row r="9">
          <cell r="E9">
            <v>35</v>
          </cell>
          <cell r="F9">
            <v>80</v>
          </cell>
        </row>
        <row r="10">
          <cell r="E10">
            <v>104</v>
          </cell>
          <cell r="F10">
            <v>266</v>
          </cell>
        </row>
        <row r="11">
          <cell r="E11">
            <v>1393</v>
          </cell>
          <cell r="F11">
            <v>1561</v>
          </cell>
        </row>
        <row r="12">
          <cell r="E12">
            <v>0</v>
          </cell>
          <cell r="F12">
            <v>181</v>
          </cell>
        </row>
        <row r="13">
          <cell r="E13">
            <v>23</v>
          </cell>
          <cell r="F13">
            <v>269</v>
          </cell>
        </row>
        <row r="14">
          <cell r="E14">
            <v>13</v>
          </cell>
          <cell r="F14">
            <v>102</v>
          </cell>
        </row>
        <row r="15">
          <cell r="E15">
            <v>0</v>
          </cell>
          <cell r="F15">
            <v>10</v>
          </cell>
        </row>
        <row r="16">
          <cell r="E16">
            <v>7</v>
          </cell>
          <cell r="F16">
            <v>260</v>
          </cell>
        </row>
        <row r="17">
          <cell r="E17">
            <v>4534</v>
          </cell>
          <cell r="F17">
            <v>7043</v>
          </cell>
        </row>
        <row r="18">
          <cell r="E18">
            <v>1292</v>
          </cell>
          <cell r="F18">
            <v>3248</v>
          </cell>
        </row>
        <row r="19">
          <cell r="E19">
            <v>28580</v>
          </cell>
          <cell r="F19">
            <v>37244</v>
          </cell>
        </row>
        <row r="23">
          <cell r="E23">
            <v>2364</v>
          </cell>
          <cell r="F23">
            <v>1904</v>
          </cell>
        </row>
        <row r="24">
          <cell r="E24">
            <v>40</v>
          </cell>
          <cell r="F24">
            <v>24</v>
          </cell>
        </row>
        <row r="25">
          <cell r="E25">
            <v>15</v>
          </cell>
          <cell r="F25">
            <v>6</v>
          </cell>
        </row>
        <row r="26">
          <cell r="E26">
            <v>10</v>
          </cell>
        </row>
        <row r="27">
          <cell r="E27">
            <v>30</v>
          </cell>
          <cell r="F27">
            <v>80</v>
          </cell>
        </row>
        <row r="28">
          <cell r="E28">
            <v>2459</v>
          </cell>
          <cell r="F28">
            <v>2014</v>
          </cell>
        </row>
      </sheetData>
      <sheetData sheetId="15">
        <row r="2">
          <cell r="E2">
            <v>131</v>
          </cell>
          <cell r="F2">
            <v>913</v>
          </cell>
        </row>
        <row r="3">
          <cell r="E3">
            <v>32158</v>
          </cell>
          <cell r="F3">
            <v>16922</v>
          </cell>
        </row>
        <row r="4">
          <cell r="E4">
            <v>3307</v>
          </cell>
          <cell r="F4">
            <v>4511</v>
          </cell>
        </row>
        <row r="5">
          <cell r="E5">
            <v>31921</v>
          </cell>
          <cell r="F5">
            <v>32351</v>
          </cell>
        </row>
        <row r="6">
          <cell r="E6">
            <v>18241</v>
          </cell>
          <cell r="F6">
            <v>20060</v>
          </cell>
        </row>
        <row r="7">
          <cell r="E7">
            <v>3485</v>
          </cell>
          <cell r="F7">
            <v>3814</v>
          </cell>
        </row>
        <row r="8">
          <cell r="E8">
            <v>89243</v>
          </cell>
          <cell r="F8">
            <v>78571</v>
          </cell>
        </row>
        <row r="12">
          <cell r="E12">
            <v>88793</v>
          </cell>
          <cell r="F12">
            <v>103813</v>
          </cell>
        </row>
        <row r="13">
          <cell r="F13">
            <v>0</v>
          </cell>
        </row>
        <row r="14">
          <cell r="E14">
            <v>2508</v>
          </cell>
          <cell r="F14">
            <v>3814</v>
          </cell>
        </row>
        <row r="15">
          <cell r="E15">
            <v>91301</v>
          </cell>
          <cell r="F15">
            <v>107627</v>
          </cell>
        </row>
      </sheetData>
      <sheetData sheetId="16">
        <row r="2">
          <cell r="E2">
            <v>5275</v>
          </cell>
          <cell r="F2">
            <v>5088</v>
          </cell>
        </row>
        <row r="3">
          <cell r="E3">
            <v>11680</v>
          </cell>
          <cell r="F3">
            <v>19800</v>
          </cell>
        </row>
        <row r="4">
          <cell r="E4">
            <v>596</v>
          </cell>
          <cell r="F4">
            <v>1314</v>
          </cell>
        </row>
        <row r="5">
          <cell r="E5">
            <v>128</v>
          </cell>
          <cell r="F5">
            <v>316</v>
          </cell>
        </row>
        <row r="6">
          <cell r="E6">
            <v>12090</v>
          </cell>
          <cell r="F6">
            <v>10885</v>
          </cell>
        </row>
        <row r="7">
          <cell r="F7">
            <v>84</v>
          </cell>
        </row>
        <row r="10">
          <cell r="E10">
            <v>1007</v>
          </cell>
          <cell r="F10">
            <v>2732</v>
          </cell>
        </row>
        <row r="11">
          <cell r="E11">
            <v>1459</v>
          </cell>
          <cell r="F11">
            <v>974</v>
          </cell>
        </row>
        <row r="12">
          <cell r="E12">
            <v>32235</v>
          </cell>
          <cell r="F12">
            <v>41193</v>
          </cell>
        </row>
        <row r="16">
          <cell r="E16">
            <v>20</v>
          </cell>
          <cell r="F16">
            <v>751</v>
          </cell>
        </row>
        <row r="18">
          <cell r="E18">
            <v>30</v>
          </cell>
        </row>
        <row r="19">
          <cell r="E19">
            <v>50</v>
          </cell>
          <cell r="F19">
            <v>751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US"/>
      <sheetName val="EU - country"/>
      <sheetName val="EU - variety"/>
      <sheetName val="Austria"/>
      <sheetName val="Belgium"/>
      <sheetName val="Czech Republic"/>
      <sheetName val="Denmark"/>
      <sheetName val="France"/>
      <sheetName val="Germany"/>
      <sheetName val="Italy"/>
      <sheetName val="Poland"/>
      <sheetName val="Portugal"/>
      <sheetName val="Spain"/>
      <sheetName val="Switzerland"/>
      <sheetName val="Netherlands"/>
      <sheetName val="UK"/>
    </sheetNames>
    <sheetDataSet>
      <sheetData sheetId="0"/>
      <sheetData sheetId="1"/>
      <sheetData sheetId="2">
        <row r="26">
          <cell r="E26">
            <v>46875</v>
          </cell>
          <cell r="F26">
            <v>41335</v>
          </cell>
        </row>
      </sheetData>
      <sheetData sheetId="3">
        <row r="42">
          <cell r="E42">
            <v>46875</v>
          </cell>
          <cell r="F42">
            <v>41335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E13">
            <v>46875</v>
          </cell>
          <cell r="F13">
            <v>41335</v>
          </cell>
        </row>
        <row r="14">
          <cell r="E14">
            <v>46875</v>
          </cell>
          <cell r="F14">
            <v>41335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9:G39"/>
  <sheetViews>
    <sheetView topLeftCell="A9" workbookViewId="0">
      <selection activeCell="G15" sqref="G15"/>
    </sheetView>
  </sheetViews>
  <sheetFormatPr defaultColWidth="9.28515625" defaultRowHeight="12.75" x14ac:dyDescent="0.2"/>
  <cols>
    <col min="3" max="3" width="18.42578125" customWidth="1"/>
  </cols>
  <sheetData>
    <row r="19" spans="2:7" x14ac:dyDescent="0.2">
      <c r="B19" t="s">
        <v>175</v>
      </c>
      <c r="G19" s="98" t="s">
        <v>145</v>
      </c>
    </row>
    <row r="21" spans="2:7" x14ac:dyDescent="0.2">
      <c r="B21" t="s">
        <v>62</v>
      </c>
      <c r="C21" t="s">
        <v>63</v>
      </c>
    </row>
    <row r="22" spans="2:7" x14ac:dyDescent="0.2">
      <c r="C22" t="s">
        <v>64</v>
      </c>
    </row>
    <row r="23" spans="2:7" x14ac:dyDescent="0.2">
      <c r="C23" t="s">
        <v>91</v>
      </c>
    </row>
    <row r="24" spans="2:7" x14ac:dyDescent="0.2">
      <c r="C24" s="3" t="s">
        <v>119</v>
      </c>
    </row>
    <row r="26" spans="2:7" x14ac:dyDescent="0.2">
      <c r="B26" t="s">
        <v>65</v>
      </c>
      <c r="C26" t="s">
        <v>66</v>
      </c>
      <c r="D26" t="s">
        <v>67</v>
      </c>
    </row>
    <row r="27" spans="2:7" x14ac:dyDescent="0.2">
      <c r="C27" t="s">
        <v>68</v>
      </c>
      <c r="D27" t="s">
        <v>69</v>
      </c>
    </row>
    <row r="28" spans="2:7" x14ac:dyDescent="0.2">
      <c r="C28" t="s">
        <v>70</v>
      </c>
      <c r="D28" t="s">
        <v>71</v>
      </c>
    </row>
    <row r="29" spans="2:7" x14ac:dyDescent="0.2">
      <c r="C29" t="s">
        <v>72</v>
      </c>
      <c r="D29" s="3" t="s">
        <v>87</v>
      </c>
    </row>
    <row r="30" spans="2:7" x14ac:dyDescent="0.2">
      <c r="C30" s="3" t="s">
        <v>137</v>
      </c>
      <c r="D30" t="s">
        <v>73</v>
      </c>
    </row>
    <row r="31" spans="2:7" x14ac:dyDescent="0.2">
      <c r="C31" t="s">
        <v>74</v>
      </c>
      <c r="D31" t="s">
        <v>133</v>
      </c>
    </row>
    <row r="32" spans="2:7" x14ac:dyDescent="0.2">
      <c r="C32" t="s">
        <v>75</v>
      </c>
      <c r="D32" t="s">
        <v>132</v>
      </c>
    </row>
    <row r="33" spans="3:4" x14ac:dyDescent="0.2">
      <c r="C33" t="s">
        <v>76</v>
      </c>
      <c r="D33" t="s">
        <v>77</v>
      </c>
    </row>
    <row r="34" spans="3:4" x14ac:dyDescent="0.2">
      <c r="C34" t="s">
        <v>78</v>
      </c>
      <c r="D34" s="26" t="s">
        <v>86</v>
      </c>
    </row>
    <row r="35" spans="3:4" x14ac:dyDescent="0.2">
      <c r="C35" t="s">
        <v>148</v>
      </c>
      <c r="D35" s="26" t="s">
        <v>149</v>
      </c>
    </row>
    <row r="36" spans="3:4" x14ac:dyDescent="0.2">
      <c r="C36" t="s">
        <v>80</v>
      </c>
      <c r="D36" t="s">
        <v>158</v>
      </c>
    </row>
    <row r="37" spans="3:4" x14ac:dyDescent="0.2">
      <c r="C37" t="s">
        <v>79</v>
      </c>
      <c r="D37" t="s">
        <v>85</v>
      </c>
    </row>
    <row r="38" spans="3:4" x14ac:dyDescent="0.2">
      <c r="C38" t="s">
        <v>81</v>
      </c>
      <c r="D38" t="s">
        <v>84</v>
      </c>
    </row>
    <row r="39" spans="3:4" x14ac:dyDescent="0.2">
      <c r="C39" t="s">
        <v>82</v>
      </c>
      <c r="D39" t="s">
        <v>83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zoomScale="71" zoomScaleNormal="71" workbookViewId="0">
      <selection activeCell="E35" sqref="E35"/>
    </sheetView>
  </sheetViews>
  <sheetFormatPr defaultColWidth="9.28515625" defaultRowHeight="12.75" x14ac:dyDescent="0.2"/>
  <cols>
    <col min="1" max="1" width="24.7109375" customWidth="1"/>
    <col min="2" max="2" width="10.7109375" customWidth="1"/>
    <col min="3" max="3" width="11.5703125" bestFit="1" customWidth="1"/>
    <col min="4" max="4" width="11.5703125" style="9" bestFit="1" customWidth="1"/>
    <col min="5" max="7" width="11.5703125" style="9" customWidth="1"/>
    <col min="8" max="16" width="10.28515625" style="9" bestFit="1" customWidth="1"/>
    <col min="17" max="18" width="10.28515625" bestFit="1" customWidth="1"/>
  </cols>
  <sheetData>
    <row r="1" spans="1:19" ht="13.5" thickBot="1" x14ac:dyDescent="0.25">
      <c r="A1" s="52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9" x14ac:dyDescent="0.2">
      <c r="A2" s="53" t="s">
        <v>4</v>
      </c>
      <c r="B2" s="60">
        <f t="shared" ref="B2:B21" si="0">(E2-F2)/F2</f>
        <v>-0.98357771260997062</v>
      </c>
      <c r="C2" s="147">
        <f>E2-[1]Germany!E2</f>
        <v>-1303</v>
      </c>
      <c r="D2" s="86">
        <f>F2-[1]Germany!F2</f>
        <v>-1386</v>
      </c>
      <c r="E2" s="56">
        <v>28</v>
      </c>
      <c r="F2" s="86">
        <v>1705</v>
      </c>
      <c r="G2" s="86">
        <v>0</v>
      </c>
      <c r="H2" s="86">
        <v>1166</v>
      </c>
      <c r="I2" s="86">
        <v>36</v>
      </c>
      <c r="J2" s="86">
        <v>969</v>
      </c>
      <c r="K2" s="86">
        <v>135</v>
      </c>
      <c r="L2" s="86">
        <v>0</v>
      </c>
      <c r="M2" s="86">
        <v>0</v>
      </c>
      <c r="N2" s="86">
        <v>27</v>
      </c>
      <c r="O2" s="86">
        <v>50</v>
      </c>
      <c r="P2" s="86">
        <v>685</v>
      </c>
      <c r="Q2" s="51">
        <v>60</v>
      </c>
      <c r="R2" s="78">
        <v>479</v>
      </c>
    </row>
    <row r="3" spans="1:19" x14ac:dyDescent="0.2">
      <c r="A3" s="53" t="s">
        <v>11</v>
      </c>
      <c r="B3" s="60">
        <f t="shared" si="0"/>
        <v>-0.66320406278855037</v>
      </c>
      <c r="C3" s="147">
        <f>E3-[1]Germany!E3</f>
        <v>-5103</v>
      </c>
      <c r="D3" s="86">
        <f>F3-[1]Germany!F3</f>
        <v>-7177</v>
      </c>
      <c r="E3" s="56">
        <v>1459</v>
      </c>
      <c r="F3" s="86">
        <v>4332</v>
      </c>
      <c r="G3" s="86">
        <v>73</v>
      </c>
      <c r="H3" s="86">
        <v>374</v>
      </c>
      <c r="I3" s="86">
        <v>1194</v>
      </c>
      <c r="J3" s="86">
        <v>121</v>
      </c>
      <c r="K3" s="86">
        <v>812</v>
      </c>
      <c r="L3" s="86">
        <v>80</v>
      </c>
      <c r="M3" s="86">
        <v>1108</v>
      </c>
      <c r="N3" s="86">
        <v>606</v>
      </c>
      <c r="O3" s="86">
        <v>873</v>
      </c>
      <c r="P3" s="86">
        <v>168</v>
      </c>
      <c r="Q3" s="51">
        <v>167</v>
      </c>
      <c r="R3" s="78">
        <v>387</v>
      </c>
    </row>
    <row r="4" spans="1:19" x14ac:dyDescent="0.2">
      <c r="A4" s="53" t="s">
        <v>5</v>
      </c>
      <c r="B4" s="60"/>
      <c r="C4" s="147">
        <f>E4-[1]Germany!E4</f>
        <v>0</v>
      </c>
      <c r="D4" s="86">
        <f>F4-[1]Germany!F4</f>
        <v>0</v>
      </c>
      <c r="E4" s="56">
        <v>0</v>
      </c>
      <c r="F4" s="86"/>
      <c r="G4" s="86">
        <v>0</v>
      </c>
      <c r="H4" s="86">
        <v>1</v>
      </c>
      <c r="I4" s="86">
        <v>32</v>
      </c>
      <c r="J4" s="86">
        <v>0</v>
      </c>
      <c r="K4" s="86">
        <v>3</v>
      </c>
      <c r="L4" s="86">
        <v>0</v>
      </c>
      <c r="M4" s="86">
        <v>0</v>
      </c>
      <c r="N4" s="86">
        <v>0</v>
      </c>
      <c r="O4" s="86">
        <v>2</v>
      </c>
      <c r="P4" s="86">
        <v>11</v>
      </c>
      <c r="Q4" s="51">
        <v>0</v>
      </c>
      <c r="R4" s="78">
        <v>65</v>
      </c>
    </row>
    <row r="5" spans="1:19" x14ac:dyDescent="0.2">
      <c r="A5" s="53" t="s">
        <v>2</v>
      </c>
      <c r="B5" s="60">
        <f t="shared" si="0"/>
        <v>0.55503953809464035</v>
      </c>
      <c r="C5" s="147">
        <f>E5-[1]Germany!E5</f>
        <v>-8484</v>
      </c>
      <c r="D5" s="86">
        <f>F5-[1]Germany!F5</f>
        <v>-10370</v>
      </c>
      <c r="E5" s="56">
        <v>12389</v>
      </c>
      <c r="F5" s="86">
        <v>7967</v>
      </c>
      <c r="G5" s="86">
        <v>3207</v>
      </c>
      <c r="H5" s="86">
        <v>9009</v>
      </c>
      <c r="I5" s="86">
        <v>6032</v>
      </c>
      <c r="J5" s="86">
        <v>14788</v>
      </c>
      <c r="K5" s="86">
        <v>5087</v>
      </c>
      <c r="L5" s="86">
        <v>3720</v>
      </c>
      <c r="M5" s="86">
        <v>4992</v>
      </c>
      <c r="N5" s="86">
        <v>5120</v>
      </c>
      <c r="O5" s="86">
        <v>9087</v>
      </c>
      <c r="P5" s="86">
        <v>3893</v>
      </c>
      <c r="Q5" s="51">
        <v>4053</v>
      </c>
      <c r="R5" s="78">
        <v>4991</v>
      </c>
    </row>
    <row r="6" spans="1:19" x14ac:dyDescent="0.2">
      <c r="A6" s="53" t="s">
        <v>12</v>
      </c>
      <c r="B6" s="60">
        <f t="shared" si="0"/>
        <v>-0.82424242424242422</v>
      </c>
      <c r="C6" s="147">
        <f>E6-[1]Germany!E6</f>
        <v>-2037</v>
      </c>
      <c r="D6" s="86">
        <f>F6-[1]Germany!F6</f>
        <v>-1116</v>
      </c>
      <c r="E6" s="56">
        <v>725</v>
      </c>
      <c r="F6" s="86">
        <v>4125</v>
      </c>
      <c r="G6" s="86">
        <v>90</v>
      </c>
      <c r="H6" s="86">
        <v>1703</v>
      </c>
      <c r="I6" s="86">
        <v>320</v>
      </c>
      <c r="J6" s="86">
        <v>1086</v>
      </c>
      <c r="K6" s="86">
        <v>1284</v>
      </c>
      <c r="L6" s="86">
        <v>22</v>
      </c>
      <c r="M6" s="86">
        <v>222</v>
      </c>
      <c r="N6" s="86">
        <v>166</v>
      </c>
      <c r="O6" s="86">
        <v>135</v>
      </c>
      <c r="P6" s="86">
        <v>67</v>
      </c>
      <c r="Q6" s="51">
        <v>94</v>
      </c>
      <c r="R6" s="78">
        <v>26</v>
      </c>
    </row>
    <row r="7" spans="1:19" x14ac:dyDescent="0.2">
      <c r="A7" s="53" t="s">
        <v>9</v>
      </c>
      <c r="B7" s="60">
        <f t="shared" si="0"/>
        <v>0.31523500810372773</v>
      </c>
      <c r="C7" s="147">
        <f>E7-[1]Germany!E7</f>
        <v>-2395</v>
      </c>
      <c r="D7" s="86">
        <f>F7-[1]Germany!F7</f>
        <v>-3071</v>
      </c>
      <c r="E7" s="56">
        <v>3246</v>
      </c>
      <c r="F7" s="86">
        <v>2468</v>
      </c>
      <c r="G7" s="86">
        <v>283</v>
      </c>
      <c r="H7" s="86">
        <v>2289</v>
      </c>
      <c r="I7" s="86">
        <v>1711</v>
      </c>
      <c r="J7" s="86">
        <v>543</v>
      </c>
      <c r="K7" s="86">
        <v>1254</v>
      </c>
      <c r="L7" s="86">
        <v>954</v>
      </c>
      <c r="M7" s="86">
        <v>390</v>
      </c>
      <c r="N7" s="86">
        <v>263</v>
      </c>
      <c r="O7" s="86">
        <v>84</v>
      </c>
      <c r="P7" s="86">
        <v>539</v>
      </c>
      <c r="Q7" s="51">
        <v>494</v>
      </c>
      <c r="R7" s="78">
        <v>387</v>
      </c>
    </row>
    <row r="8" spans="1:19" x14ac:dyDescent="0.2">
      <c r="A8" s="53" t="s">
        <v>14</v>
      </c>
      <c r="B8" s="60"/>
      <c r="C8" s="147"/>
      <c r="D8" s="86">
        <f>F8-[1]Germany!F8</f>
        <v>-215</v>
      </c>
      <c r="E8" s="56"/>
      <c r="F8" s="86">
        <v>50</v>
      </c>
      <c r="G8" s="86">
        <v>0</v>
      </c>
      <c r="H8" s="86">
        <v>165</v>
      </c>
      <c r="I8" s="86">
        <v>372</v>
      </c>
      <c r="J8" s="86">
        <v>446</v>
      </c>
      <c r="K8" s="86">
        <v>258</v>
      </c>
      <c r="L8" s="86">
        <v>33</v>
      </c>
      <c r="M8" s="86">
        <v>445</v>
      </c>
      <c r="N8" s="86">
        <v>930</v>
      </c>
      <c r="O8" s="86">
        <v>2067</v>
      </c>
      <c r="P8" s="86">
        <v>1272</v>
      </c>
      <c r="Q8" s="51">
        <v>30</v>
      </c>
      <c r="R8" s="78">
        <v>2464</v>
      </c>
    </row>
    <row r="9" spans="1:19" x14ac:dyDescent="0.2">
      <c r="A9" s="53" t="s">
        <v>3</v>
      </c>
      <c r="B9" s="60">
        <f t="shared" si="0"/>
        <v>-0.23413705583756345</v>
      </c>
      <c r="C9" s="147">
        <f>E9-[1]Germany!E9</f>
        <v>-706</v>
      </c>
      <c r="D9" s="86">
        <f>F9-[1]Germany!F9</f>
        <v>-693</v>
      </c>
      <c r="E9" s="56">
        <v>1207</v>
      </c>
      <c r="F9" s="86">
        <v>1576</v>
      </c>
      <c r="G9" s="86">
        <v>206</v>
      </c>
      <c r="H9" s="86">
        <v>4596</v>
      </c>
      <c r="I9" s="86">
        <v>3917</v>
      </c>
      <c r="J9" s="86">
        <v>3625</v>
      </c>
      <c r="K9" s="86">
        <v>4264</v>
      </c>
      <c r="L9" s="86">
        <v>4903</v>
      </c>
      <c r="M9" s="86">
        <v>7930</v>
      </c>
      <c r="N9" s="86">
        <v>5201</v>
      </c>
      <c r="O9" s="86">
        <v>6065</v>
      </c>
      <c r="P9" s="86">
        <v>9976</v>
      </c>
      <c r="Q9" s="51">
        <v>4752</v>
      </c>
      <c r="R9" s="78">
        <v>5988</v>
      </c>
    </row>
    <row r="10" spans="1:19" x14ac:dyDescent="0.2">
      <c r="A10" s="53" t="s">
        <v>15</v>
      </c>
      <c r="B10" s="60"/>
      <c r="C10" s="147"/>
      <c r="D10" s="86">
        <f>F10-[1]Germany!F10</f>
        <v>0</v>
      </c>
      <c r="E10" s="56"/>
      <c r="F10" s="86"/>
      <c r="G10" s="86">
        <v>0</v>
      </c>
      <c r="H10" s="86">
        <v>0</v>
      </c>
      <c r="I10" s="86"/>
      <c r="J10" s="86">
        <v>0</v>
      </c>
      <c r="K10" s="86">
        <v>0</v>
      </c>
      <c r="L10" s="86">
        <v>0</v>
      </c>
      <c r="M10" s="86">
        <v>0</v>
      </c>
      <c r="N10" s="86">
        <v>30</v>
      </c>
      <c r="O10" s="86"/>
      <c r="P10" s="86"/>
      <c r="Q10" s="51"/>
      <c r="R10" s="78"/>
    </row>
    <row r="11" spans="1:19" x14ac:dyDescent="0.2">
      <c r="A11" s="53" t="s">
        <v>10</v>
      </c>
      <c r="B11" s="60">
        <f t="shared" si="0"/>
        <v>-0.81971787319795375</v>
      </c>
      <c r="C11" s="147">
        <f>E11-[1]Germany!E11</f>
        <v>-1330</v>
      </c>
      <c r="D11" s="86">
        <f>F11-[1]Germany!F11</f>
        <v>-993</v>
      </c>
      <c r="E11" s="56">
        <v>1163</v>
      </c>
      <c r="F11" s="86">
        <v>6451</v>
      </c>
      <c r="G11" s="86">
        <v>4879</v>
      </c>
      <c r="H11" s="86">
        <v>6508</v>
      </c>
      <c r="I11" s="86">
        <v>12309</v>
      </c>
      <c r="J11" s="86">
        <v>3973</v>
      </c>
      <c r="K11" s="86">
        <v>14228</v>
      </c>
      <c r="L11" s="86">
        <v>13989</v>
      </c>
      <c r="M11" s="86">
        <v>10754</v>
      </c>
      <c r="N11" s="86">
        <v>8439</v>
      </c>
      <c r="O11" s="86">
        <v>14681</v>
      </c>
      <c r="P11" s="86">
        <v>11954</v>
      </c>
      <c r="Q11" s="51">
        <v>5243</v>
      </c>
      <c r="R11" s="78">
        <v>10228</v>
      </c>
      <c r="S11" s="1"/>
    </row>
    <row r="12" spans="1:19" x14ac:dyDescent="0.2">
      <c r="A12" s="53" t="s">
        <v>100</v>
      </c>
      <c r="B12" s="60"/>
      <c r="C12" s="147">
        <f>E12-[1]Germany!E12</f>
        <v>0</v>
      </c>
      <c r="D12" s="86">
        <f>F12-[1]Germany!F12</f>
        <v>0</v>
      </c>
      <c r="E12" s="56"/>
      <c r="F12" s="86"/>
      <c r="G12" s="86">
        <v>0</v>
      </c>
      <c r="H12" s="86">
        <v>0</v>
      </c>
      <c r="I12" s="86"/>
      <c r="J12" s="86"/>
      <c r="K12" s="86"/>
      <c r="L12" s="86"/>
      <c r="M12" s="86"/>
      <c r="N12" s="86"/>
      <c r="O12" s="86"/>
      <c r="P12" s="86"/>
      <c r="Q12" s="51"/>
      <c r="R12" s="78"/>
      <c r="S12" s="1"/>
    </row>
    <row r="13" spans="1:19" x14ac:dyDescent="0.2">
      <c r="A13" s="53" t="s">
        <v>27</v>
      </c>
      <c r="B13" s="60">
        <f t="shared" si="0"/>
        <v>-0.61593673965936735</v>
      </c>
      <c r="C13" s="147">
        <f>E13-[1]Germany!E13</f>
        <v>-2198</v>
      </c>
      <c r="D13" s="86">
        <f>F13-[1]Germany!F13</f>
        <v>-4152</v>
      </c>
      <c r="E13" s="56">
        <v>6314</v>
      </c>
      <c r="F13" s="86">
        <v>16440</v>
      </c>
      <c r="G13" s="86">
        <v>4101</v>
      </c>
      <c r="H13" s="86">
        <v>17120</v>
      </c>
      <c r="I13" s="86">
        <v>15416</v>
      </c>
      <c r="J13" s="86">
        <v>19390</v>
      </c>
      <c r="K13" s="86">
        <v>16308</v>
      </c>
      <c r="L13" s="86">
        <v>20984</v>
      </c>
      <c r="M13" s="86">
        <v>26156</v>
      </c>
      <c r="N13" s="86">
        <v>16494</v>
      </c>
      <c r="O13" s="86">
        <v>25474</v>
      </c>
      <c r="P13" s="86">
        <v>26102</v>
      </c>
      <c r="Q13" s="51">
        <v>19987</v>
      </c>
      <c r="R13" s="78">
        <v>22091</v>
      </c>
      <c r="S13" s="1"/>
    </row>
    <row r="14" spans="1:19" x14ac:dyDescent="0.2">
      <c r="A14" s="53" t="s">
        <v>26</v>
      </c>
      <c r="B14" s="60">
        <f t="shared" si="0"/>
        <v>-0.50160481806051427</v>
      </c>
      <c r="C14" s="147">
        <f>E14-[1]Germany!E14</f>
        <v>-3874</v>
      </c>
      <c r="D14" s="86">
        <f>F14-[1]Germany!F14</f>
        <v>-6938</v>
      </c>
      <c r="E14" s="56">
        <v>13820</v>
      </c>
      <c r="F14" s="86">
        <v>27729</v>
      </c>
      <c r="G14" s="86">
        <v>8165</v>
      </c>
      <c r="H14" s="86">
        <v>32371</v>
      </c>
      <c r="I14" s="86">
        <v>32556</v>
      </c>
      <c r="J14" s="86">
        <v>36592</v>
      </c>
      <c r="K14" s="86">
        <v>26925</v>
      </c>
      <c r="L14" s="86">
        <v>34435</v>
      </c>
      <c r="M14" s="86">
        <v>34646</v>
      </c>
      <c r="N14" s="86">
        <v>25314</v>
      </c>
      <c r="O14" s="86">
        <v>33490</v>
      </c>
      <c r="P14" s="86">
        <v>29994</v>
      </c>
      <c r="Q14" s="51">
        <v>21156</v>
      </c>
      <c r="R14" s="78">
        <v>27642</v>
      </c>
    </row>
    <row r="15" spans="1:19" x14ac:dyDescent="0.2">
      <c r="A15" s="53" t="s">
        <v>13</v>
      </c>
      <c r="B15" s="60">
        <f t="shared" si="0"/>
        <v>-0.36561119293078054</v>
      </c>
      <c r="C15" s="147">
        <f>E15-[1]Germany!E15</f>
        <v>-1990</v>
      </c>
      <c r="D15" s="86">
        <f>F15-[1]Germany!F15</f>
        <v>-1739</v>
      </c>
      <c r="E15" s="56">
        <v>1723</v>
      </c>
      <c r="F15" s="86">
        <v>2716</v>
      </c>
      <c r="G15" s="86">
        <v>1226</v>
      </c>
      <c r="H15" s="86">
        <v>5072</v>
      </c>
      <c r="I15" s="86">
        <v>6123</v>
      </c>
      <c r="J15" s="86">
        <v>6427</v>
      </c>
      <c r="K15" s="86">
        <v>3616</v>
      </c>
      <c r="L15" s="86">
        <v>2784</v>
      </c>
      <c r="M15" s="86">
        <v>2679</v>
      </c>
      <c r="N15" s="86">
        <v>2171</v>
      </c>
      <c r="O15" s="86">
        <v>2241</v>
      </c>
      <c r="P15" s="86">
        <v>1515</v>
      </c>
      <c r="Q15" s="51">
        <v>94</v>
      </c>
      <c r="R15" s="78">
        <v>397</v>
      </c>
    </row>
    <row r="16" spans="1:19" x14ac:dyDescent="0.2">
      <c r="A16" s="53" t="s">
        <v>135</v>
      </c>
      <c r="B16" s="60">
        <f t="shared" si="0"/>
        <v>-0.40287684822145592</v>
      </c>
      <c r="C16" s="147">
        <f>E16-[1]Germany!E16</f>
        <v>-8668</v>
      </c>
      <c r="D16" s="86">
        <f>F16-[1]Germany!F16</f>
        <v>-7961</v>
      </c>
      <c r="E16" s="56">
        <v>25281</v>
      </c>
      <c r="F16" s="86">
        <v>42338</v>
      </c>
      <c r="G16" s="86">
        <v>20336</v>
      </c>
      <c r="H16" s="86">
        <v>37015</v>
      </c>
      <c r="I16" s="86">
        <v>22485</v>
      </c>
      <c r="J16" s="86">
        <v>16280</v>
      </c>
      <c r="K16" s="86">
        <v>10256</v>
      </c>
      <c r="L16" s="86">
        <v>12669</v>
      </c>
      <c r="M16" s="86">
        <v>9733</v>
      </c>
      <c r="N16" s="86">
        <v>5164</v>
      </c>
      <c r="O16" s="86">
        <v>8667</v>
      </c>
      <c r="P16" s="86">
        <v>6244</v>
      </c>
      <c r="Q16" s="51">
        <v>4412</v>
      </c>
      <c r="R16" s="78">
        <v>1039</v>
      </c>
    </row>
    <row r="17" spans="1:20" s="16" customFormat="1" x14ac:dyDescent="0.2">
      <c r="A17" s="53" t="s">
        <v>90</v>
      </c>
      <c r="B17" s="60">
        <f t="shared" si="0"/>
        <v>-0.33333333333333331</v>
      </c>
      <c r="C17" s="147">
        <f>E17-[1]Germany!E17</f>
        <v>-46</v>
      </c>
      <c r="D17" s="86">
        <f>F17-[1]Germany!F17</f>
        <v>-50</v>
      </c>
      <c r="E17" s="56">
        <v>4</v>
      </c>
      <c r="F17" s="86">
        <v>6</v>
      </c>
      <c r="G17" s="86">
        <v>2</v>
      </c>
      <c r="H17" s="86">
        <v>7</v>
      </c>
      <c r="I17" s="86">
        <v>111</v>
      </c>
      <c r="J17" s="86">
        <v>12</v>
      </c>
      <c r="K17" s="86">
        <v>4</v>
      </c>
      <c r="L17" s="86">
        <v>210</v>
      </c>
      <c r="M17" s="86">
        <v>244</v>
      </c>
      <c r="N17" s="86"/>
      <c r="O17" s="86">
        <v>7</v>
      </c>
      <c r="P17" s="86">
        <v>21</v>
      </c>
      <c r="Q17" s="51">
        <v>3</v>
      </c>
      <c r="R17" s="78">
        <v>8</v>
      </c>
      <c r="T17"/>
    </row>
    <row r="18" spans="1:20" x14ac:dyDescent="0.2">
      <c r="A18" s="53" t="s">
        <v>97</v>
      </c>
      <c r="B18" s="60">
        <f t="shared" si="0"/>
        <v>-0.77596439169139464</v>
      </c>
      <c r="C18" s="147">
        <f>E18-[1]Germany!E18</f>
        <v>-113</v>
      </c>
      <c r="D18" s="86">
        <f>F18-[1]Germany!F18</f>
        <v>-536</v>
      </c>
      <c r="E18" s="56">
        <v>151</v>
      </c>
      <c r="F18" s="86">
        <v>674</v>
      </c>
      <c r="G18" s="86">
        <v>0</v>
      </c>
      <c r="H18" s="86">
        <v>75</v>
      </c>
      <c r="I18" s="86">
        <v>177</v>
      </c>
      <c r="J18" s="86">
        <v>118</v>
      </c>
      <c r="K18" s="86">
        <v>171</v>
      </c>
      <c r="L18" s="86">
        <v>119</v>
      </c>
      <c r="M18" s="86">
        <v>110</v>
      </c>
      <c r="N18" s="86">
        <v>562</v>
      </c>
      <c r="O18" s="86">
        <v>532</v>
      </c>
      <c r="P18" s="86">
        <v>589</v>
      </c>
      <c r="Q18" s="51">
        <v>46</v>
      </c>
      <c r="R18" s="78">
        <v>519</v>
      </c>
    </row>
    <row r="19" spans="1:20" x14ac:dyDescent="0.2">
      <c r="A19" s="53" t="s">
        <v>144</v>
      </c>
      <c r="B19" s="60">
        <f t="shared" si="0"/>
        <v>-0.82084440095065003</v>
      </c>
      <c r="C19" s="147">
        <f>E19-[1]Germany!E19</f>
        <v>-11248</v>
      </c>
      <c r="D19" s="86">
        <f>F19-[1]Germany!F19</f>
        <v>-7620</v>
      </c>
      <c r="E19" s="56">
        <v>2563</v>
      </c>
      <c r="F19" s="86">
        <v>14306</v>
      </c>
      <c r="G19" s="86">
        <v>2556</v>
      </c>
      <c r="H19" s="86">
        <v>8061</v>
      </c>
      <c r="I19" s="86">
        <v>8177</v>
      </c>
      <c r="J19" s="86">
        <v>7759</v>
      </c>
      <c r="K19" s="86">
        <v>5705</v>
      </c>
      <c r="L19" s="86">
        <v>2977</v>
      </c>
      <c r="M19" s="86">
        <v>2456</v>
      </c>
      <c r="N19" s="86">
        <v>1276</v>
      </c>
      <c r="O19" s="86">
        <v>1613</v>
      </c>
      <c r="P19" s="86">
        <v>837</v>
      </c>
      <c r="Q19" s="51">
        <v>951</v>
      </c>
      <c r="R19" s="78">
        <v>91</v>
      </c>
    </row>
    <row r="20" spans="1:20" ht="13.5" thickBot="1" x14ac:dyDescent="0.25">
      <c r="A20" s="54" t="s">
        <v>6</v>
      </c>
      <c r="B20" s="61">
        <f t="shared" si="0"/>
        <v>-0.23486238532110093</v>
      </c>
      <c r="C20" s="148">
        <f>E20-[1]Germany!E20</f>
        <v>-1012</v>
      </c>
      <c r="D20" s="86">
        <f>F20-[1]Germany!F20</f>
        <v>-971</v>
      </c>
      <c r="E20" s="56">
        <v>834</v>
      </c>
      <c r="F20" s="86">
        <v>1090</v>
      </c>
      <c r="G20" s="86">
        <v>141</v>
      </c>
      <c r="H20" s="86">
        <v>1360</v>
      </c>
      <c r="I20" s="87">
        <v>897</v>
      </c>
      <c r="J20" s="87">
        <v>2104</v>
      </c>
      <c r="K20" s="87">
        <v>2095</v>
      </c>
      <c r="L20" s="87">
        <v>2625</v>
      </c>
      <c r="M20" s="87">
        <v>924</v>
      </c>
      <c r="N20" s="87">
        <v>1434</v>
      </c>
      <c r="O20" s="87">
        <v>1433</v>
      </c>
      <c r="P20" s="87">
        <v>1528</v>
      </c>
      <c r="Q20" s="50">
        <v>961</v>
      </c>
      <c r="R20" s="79">
        <v>1325</v>
      </c>
    </row>
    <row r="21" spans="1:20" ht="13.5" thickBot="1" x14ac:dyDescent="0.25">
      <c r="A21" s="55" t="s">
        <v>93</v>
      </c>
      <c r="B21" s="97">
        <f t="shared" si="0"/>
        <v>-0.47073664096497053</v>
      </c>
      <c r="C21" s="155">
        <f>E21-[1]Germany!E21</f>
        <v>-50507</v>
      </c>
      <c r="D21" s="110">
        <f>F21-[1]Germany!F21</f>
        <v>-54988</v>
      </c>
      <c r="E21" s="58">
        <f>SUM(E2:E20)</f>
        <v>70907</v>
      </c>
      <c r="F21" s="110">
        <f>SUM(F2:F20)</f>
        <v>133973</v>
      </c>
      <c r="G21" s="110">
        <f>SUM(G2:G20)</f>
        <v>45265</v>
      </c>
      <c r="H21" s="110">
        <f t="shared" ref="H21:R21" si="1">SUM(H2:H20)</f>
        <v>126892</v>
      </c>
      <c r="I21" s="110">
        <f t="shared" si="1"/>
        <v>111865</v>
      </c>
      <c r="J21" s="110">
        <f t="shared" si="1"/>
        <v>114233</v>
      </c>
      <c r="K21" s="110">
        <f t="shared" si="1"/>
        <v>92405</v>
      </c>
      <c r="L21" s="110">
        <f t="shared" si="1"/>
        <v>100504</v>
      </c>
      <c r="M21" s="110">
        <f t="shared" si="1"/>
        <v>102789</v>
      </c>
      <c r="N21" s="110">
        <f t="shared" si="1"/>
        <v>73197</v>
      </c>
      <c r="O21" s="110">
        <f t="shared" si="1"/>
        <v>106501</v>
      </c>
      <c r="P21" s="110">
        <f t="shared" si="1"/>
        <v>95395</v>
      </c>
      <c r="Q21" s="59">
        <f t="shared" si="1"/>
        <v>62503</v>
      </c>
      <c r="R21" s="43">
        <f t="shared" si="1"/>
        <v>78127</v>
      </c>
    </row>
    <row r="23" spans="1:20" ht="13.5" thickBot="1" x14ac:dyDescent="0.25">
      <c r="B23" s="3"/>
      <c r="C23" s="3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3"/>
      <c r="R23" s="3"/>
    </row>
    <row r="24" spans="1:20" s="65" customFormat="1" ht="13.5" thickBot="1" x14ac:dyDescent="0.25">
      <c r="A24" s="64" t="s">
        <v>25</v>
      </c>
      <c r="B24" s="32" t="s">
        <v>176</v>
      </c>
      <c r="C24" s="62" t="s">
        <v>177</v>
      </c>
      <c r="D24" s="99" t="s">
        <v>174</v>
      </c>
      <c r="E24" s="129">
        <v>43952</v>
      </c>
      <c r="F24" s="137">
        <v>43586</v>
      </c>
      <c r="G24" s="137">
        <v>43221</v>
      </c>
      <c r="H24" s="33">
        <v>42856</v>
      </c>
      <c r="I24" s="33">
        <v>42491</v>
      </c>
      <c r="J24" s="33">
        <v>42125</v>
      </c>
      <c r="K24" s="33">
        <v>41760</v>
      </c>
      <c r="L24" s="33">
        <v>41395</v>
      </c>
      <c r="M24" s="33">
        <v>41030</v>
      </c>
      <c r="N24" s="33">
        <v>40664</v>
      </c>
      <c r="O24" s="33">
        <v>40299</v>
      </c>
      <c r="P24" s="33">
        <v>39934</v>
      </c>
      <c r="Q24" s="33">
        <v>39569</v>
      </c>
      <c r="R24" s="34">
        <v>39203</v>
      </c>
    </row>
    <row r="25" spans="1:20" s="63" customFormat="1" ht="13.5" thickBot="1" x14ac:dyDescent="0.25">
      <c r="A25" s="70" t="s">
        <v>6</v>
      </c>
      <c r="B25" s="114">
        <f>(E25-F25)/F25</f>
        <v>-0.44306930693069307</v>
      </c>
      <c r="C25" s="149">
        <f>E25-[1]Germany!E25</f>
        <v>-169</v>
      </c>
      <c r="D25" s="92">
        <f>F25-[1]Germany!F25</f>
        <v>-417</v>
      </c>
      <c r="E25" s="72">
        <v>225</v>
      </c>
      <c r="F25" s="92">
        <v>404</v>
      </c>
      <c r="G25" s="92">
        <v>0</v>
      </c>
      <c r="H25" s="92">
        <v>25</v>
      </c>
      <c r="I25" s="92">
        <v>20</v>
      </c>
      <c r="J25" s="92">
        <v>427</v>
      </c>
      <c r="K25" s="92">
        <v>234</v>
      </c>
      <c r="L25" s="92">
        <v>23</v>
      </c>
      <c r="M25" s="92">
        <v>189</v>
      </c>
      <c r="N25" s="92">
        <v>1</v>
      </c>
      <c r="O25" s="92">
        <v>113</v>
      </c>
      <c r="P25" s="92">
        <v>0</v>
      </c>
      <c r="Q25" s="73">
        <v>151</v>
      </c>
      <c r="R25" s="81">
        <v>24</v>
      </c>
    </row>
    <row r="26" spans="1:20" s="63" customFormat="1" ht="13.5" thickBot="1" x14ac:dyDescent="0.25">
      <c r="A26" s="74" t="s">
        <v>93</v>
      </c>
      <c r="B26" s="75">
        <f>(E26-F26)/F26</f>
        <v>-0.44306930693069307</v>
      </c>
      <c r="C26" s="155">
        <f>E26-[1]Germany!E26</f>
        <v>-169</v>
      </c>
      <c r="D26" s="104">
        <f>F26-[1]Germany!F26</f>
        <v>-417</v>
      </c>
      <c r="E26" s="76">
        <f>SUM(E25)</f>
        <v>225</v>
      </c>
      <c r="F26" s="104">
        <v>404</v>
      </c>
      <c r="G26" s="104">
        <v>0</v>
      </c>
      <c r="H26" s="104">
        <f>SUM(H25)</f>
        <v>25</v>
      </c>
      <c r="I26" s="104">
        <f>SUM(I25)</f>
        <v>20</v>
      </c>
      <c r="J26" s="104">
        <f>SUM(J25)</f>
        <v>427</v>
      </c>
      <c r="K26" s="104">
        <f>SUM(K25)</f>
        <v>234</v>
      </c>
      <c r="L26" s="104">
        <f>SUM(L25)</f>
        <v>23</v>
      </c>
      <c r="M26" s="104">
        <f t="shared" ref="M26:R26" si="2">SUM(M25)</f>
        <v>189</v>
      </c>
      <c r="N26" s="104">
        <f t="shared" si="2"/>
        <v>1</v>
      </c>
      <c r="O26" s="104">
        <f t="shared" si="2"/>
        <v>113</v>
      </c>
      <c r="P26" s="104">
        <f t="shared" si="2"/>
        <v>0</v>
      </c>
      <c r="Q26" s="77">
        <f t="shared" si="2"/>
        <v>151</v>
      </c>
      <c r="R26" s="82">
        <f t="shared" si="2"/>
        <v>24</v>
      </c>
    </row>
    <row r="27" spans="1:20" s="63" customFormat="1" x14ac:dyDescent="0.2"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20" s="63" customFormat="1" x14ac:dyDescent="0.2">
      <c r="A28" s="65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20" s="63" customFormat="1" x14ac:dyDescent="0.2"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</sheetData>
  <pageMargins left="0.75" right="0.75" top="1" bottom="1" header="0.5" footer="0.5"/>
  <pageSetup paperSize="9" scale="66" fitToHeight="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78" zoomScaleNormal="78" workbookViewId="0">
      <selection activeCell="C26" sqref="C26"/>
    </sheetView>
  </sheetViews>
  <sheetFormatPr defaultColWidth="9.28515625" defaultRowHeight="12.75" x14ac:dyDescent="0.2"/>
  <cols>
    <col min="1" max="1" width="29.28515625" customWidth="1"/>
    <col min="2" max="2" width="10.7109375" customWidth="1"/>
    <col min="3" max="3" width="11.5703125" bestFit="1" customWidth="1"/>
    <col min="4" max="7" width="11.42578125" style="9" customWidth="1"/>
    <col min="8" max="8" width="10.28515625" style="9" bestFit="1" customWidth="1"/>
    <col min="9" max="16" width="10.28515625" style="12" bestFit="1" customWidth="1"/>
    <col min="17" max="18" width="10.28515625" bestFit="1" customWidth="1"/>
  </cols>
  <sheetData>
    <row r="1" spans="1:18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8" x14ac:dyDescent="0.2">
      <c r="A2" s="27" t="s">
        <v>20</v>
      </c>
      <c r="B2" s="35"/>
      <c r="C2" s="144">
        <f>E2-[1]Italy!E2</f>
        <v>0</v>
      </c>
      <c r="D2" s="13">
        <f>F2-[1]Italy!F2</f>
        <v>0</v>
      </c>
      <c r="E2" s="130"/>
      <c r="F2" s="13"/>
      <c r="G2" s="13">
        <v>0</v>
      </c>
      <c r="H2" s="13">
        <v>0</v>
      </c>
      <c r="I2" s="13">
        <v>0</v>
      </c>
      <c r="J2" s="13">
        <v>0</v>
      </c>
      <c r="K2" s="13"/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0</v>
      </c>
      <c r="R2" s="37">
        <v>112</v>
      </c>
    </row>
    <row r="3" spans="1:18" x14ac:dyDescent="0.2">
      <c r="A3" s="27" t="s">
        <v>11</v>
      </c>
      <c r="B3" s="35">
        <f t="shared" ref="B3:B20" si="0">(E3-F3)/F3</f>
        <v>-0.31485038207592297</v>
      </c>
      <c r="C3" s="144">
        <f>E3-[1]Italy!E3</f>
        <v>-8042.0799999999981</v>
      </c>
      <c r="D3" s="13">
        <f>F3-[1]Italy!F3</f>
        <v>-8416.4999999999964</v>
      </c>
      <c r="E3" s="130">
        <v>20048.300000000003</v>
      </c>
      <c r="F3" s="13">
        <v>29261.200000000001</v>
      </c>
      <c r="G3" s="13">
        <v>7735.4</v>
      </c>
      <c r="H3" s="13">
        <v>22696.799999999999</v>
      </c>
      <c r="I3" s="13">
        <v>19631.7</v>
      </c>
      <c r="J3" s="13">
        <v>20398</v>
      </c>
      <c r="K3" s="13">
        <v>24962</v>
      </c>
      <c r="L3" s="13">
        <v>10309</v>
      </c>
      <c r="M3" s="13">
        <v>23796</v>
      </c>
      <c r="N3" s="13">
        <v>22640</v>
      </c>
      <c r="O3" s="13">
        <v>25947.200000000001</v>
      </c>
      <c r="P3" s="13">
        <v>14388</v>
      </c>
      <c r="Q3" s="13">
        <v>10496</v>
      </c>
      <c r="R3" s="37">
        <v>9809.5</v>
      </c>
    </row>
    <row r="4" spans="1:18" ht="12.75" customHeight="1" x14ac:dyDescent="0.25">
      <c r="A4" s="27" t="s">
        <v>61</v>
      </c>
      <c r="B4" s="35">
        <f t="shared" si="0"/>
        <v>-0.439204812572558</v>
      </c>
      <c r="C4" s="144">
        <f>E4-[1]Italy!E4</f>
        <v>-15055.8</v>
      </c>
      <c r="D4" s="13">
        <f>F4-[1]Italy!F4</f>
        <v>-16633.690000000002</v>
      </c>
      <c r="E4" s="130">
        <v>7598.5</v>
      </c>
      <c r="F4" s="13">
        <v>13549.51</v>
      </c>
      <c r="G4" s="13">
        <v>5319.6</v>
      </c>
      <c r="H4" s="13">
        <v>14167.4</v>
      </c>
      <c r="I4" s="13">
        <v>7146</v>
      </c>
      <c r="J4" s="13">
        <v>20866</v>
      </c>
      <c r="K4" s="13">
        <v>5378</v>
      </c>
      <c r="L4" s="13">
        <v>610</v>
      </c>
      <c r="M4" s="13">
        <v>11153</v>
      </c>
      <c r="N4" s="13">
        <v>2999</v>
      </c>
      <c r="O4" s="121"/>
      <c r="P4" s="121"/>
      <c r="Q4" s="121"/>
      <c r="R4" s="95"/>
    </row>
    <row r="5" spans="1:18" x14ac:dyDescent="0.2">
      <c r="A5" s="27" t="s">
        <v>2</v>
      </c>
      <c r="B5" s="35"/>
      <c r="C5" s="144">
        <f>E5-[1]Italy!E5</f>
        <v>0</v>
      </c>
      <c r="D5" s="13">
        <f>F5-[1]Italy!F5</f>
        <v>0</v>
      </c>
      <c r="E5" s="130"/>
      <c r="F5" s="13">
        <v>0</v>
      </c>
      <c r="G5" s="13">
        <v>0</v>
      </c>
      <c r="H5" s="13">
        <v>0</v>
      </c>
      <c r="I5" s="13">
        <v>2</v>
      </c>
      <c r="J5" s="13">
        <v>0</v>
      </c>
      <c r="K5" s="13">
        <v>2</v>
      </c>
      <c r="L5" s="13">
        <v>0</v>
      </c>
      <c r="M5" s="13">
        <v>0</v>
      </c>
      <c r="N5" s="13">
        <v>0</v>
      </c>
      <c r="O5" s="13">
        <v>6</v>
      </c>
      <c r="P5" s="13">
        <v>0</v>
      </c>
      <c r="Q5" s="13">
        <v>0</v>
      </c>
      <c r="R5" s="37">
        <v>0</v>
      </c>
    </row>
    <row r="6" spans="1:18" x14ac:dyDescent="0.2">
      <c r="A6" s="27" t="s">
        <v>12</v>
      </c>
      <c r="B6" s="35">
        <f t="shared" si="0"/>
        <v>-0.46366264430658699</v>
      </c>
      <c r="C6" s="144">
        <f>E6-[1]Italy!E6</f>
        <v>-19065.992119609546</v>
      </c>
      <c r="D6" s="13">
        <f>F6-[1]Italy!F6</f>
        <v>-19879.010000000002</v>
      </c>
      <c r="E6" s="130">
        <v>20075.96</v>
      </c>
      <c r="F6" s="13">
        <v>37431.589999999997</v>
      </c>
      <c r="G6" s="13">
        <v>16823.599999999999</v>
      </c>
      <c r="H6" s="13">
        <v>23657.17</v>
      </c>
      <c r="I6" s="13">
        <v>39140</v>
      </c>
      <c r="J6" s="13">
        <v>26389</v>
      </c>
      <c r="K6" s="13">
        <v>36471</v>
      </c>
      <c r="L6" s="13">
        <v>11880</v>
      </c>
      <c r="M6" s="13">
        <v>21516</v>
      </c>
      <c r="N6" s="13">
        <v>31444</v>
      </c>
      <c r="O6" s="13">
        <v>19263.919999999998</v>
      </c>
      <c r="P6" s="13">
        <v>14851.6</v>
      </c>
      <c r="Q6" s="13">
        <v>14080.7</v>
      </c>
      <c r="R6" s="37">
        <v>11291.9</v>
      </c>
    </row>
    <row r="7" spans="1:18" x14ac:dyDescent="0.2">
      <c r="A7" s="27" t="s">
        <v>9</v>
      </c>
      <c r="B7" s="35">
        <f t="shared" si="0"/>
        <v>1.0302876480541459</v>
      </c>
      <c r="C7" s="144">
        <f>E7-[1]Italy!E7</f>
        <v>-14311.233152349183</v>
      </c>
      <c r="D7" s="13">
        <f>F7-[1]Italy!F7</f>
        <v>-10531.5</v>
      </c>
      <c r="E7" s="130">
        <v>1559.8700000000001</v>
      </c>
      <c r="F7" s="13">
        <v>768.3</v>
      </c>
      <c r="G7" s="13">
        <v>80</v>
      </c>
      <c r="H7" s="13">
        <v>1752.6</v>
      </c>
      <c r="I7" s="13">
        <v>21</v>
      </c>
      <c r="J7" s="13">
        <v>1865</v>
      </c>
      <c r="K7" s="13">
        <v>731</v>
      </c>
      <c r="L7" s="13">
        <v>1</v>
      </c>
      <c r="M7" s="13">
        <v>142</v>
      </c>
      <c r="N7" s="13">
        <v>626</v>
      </c>
      <c r="O7" s="13">
        <v>118</v>
      </c>
      <c r="P7" s="13">
        <v>271</v>
      </c>
      <c r="Q7" s="13">
        <v>76</v>
      </c>
      <c r="R7" s="37">
        <v>47.4</v>
      </c>
    </row>
    <row r="8" spans="1:18" x14ac:dyDescent="0.2">
      <c r="A8" s="27" t="s">
        <v>14</v>
      </c>
      <c r="B8" s="35">
        <f t="shared" si="0"/>
        <v>-1</v>
      </c>
      <c r="C8" s="144">
        <f>E8-[1]Italy!E8</f>
        <v>0</v>
      </c>
      <c r="D8" s="13">
        <f>F8-[1]Italy!F8</f>
        <v>0</v>
      </c>
      <c r="E8" s="130"/>
      <c r="F8" s="13">
        <v>5</v>
      </c>
      <c r="G8" s="13">
        <v>0</v>
      </c>
      <c r="H8" s="13">
        <v>0</v>
      </c>
      <c r="I8" s="13">
        <v>3</v>
      </c>
      <c r="J8" s="13">
        <v>5</v>
      </c>
      <c r="K8" s="13">
        <v>11</v>
      </c>
      <c r="L8" s="13"/>
      <c r="M8" s="13">
        <v>34</v>
      </c>
      <c r="N8" s="13">
        <v>0</v>
      </c>
      <c r="O8" s="13">
        <v>52.97</v>
      </c>
      <c r="P8" s="13">
        <v>119.5</v>
      </c>
      <c r="Q8" s="13">
        <v>67</v>
      </c>
      <c r="R8" s="37">
        <v>53.5</v>
      </c>
    </row>
    <row r="9" spans="1:18" x14ac:dyDescent="0.2">
      <c r="A9" s="29" t="s">
        <v>3</v>
      </c>
      <c r="B9" s="35">
        <f t="shared" si="0"/>
        <v>-0.2281479901828638</v>
      </c>
      <c r="C9" s="144">
        <f>E9-[1]Italy!E9</f>
        <v>-87494.341420211567</v>
      </c>
      <c r="D9" s="13">
        <f>F9-[1]Italy!F9</f>
        <v>-75284.459999999963</v>
      </c>
      <c r="E9" s="130">
        <v>226647.88999999998</v>
      </c>
      <c r="F9" s="13">
        <v>293641.64</v>
      </c>
      <c r="G9" s="13">
        <v>100345.62999999999</v>
      </c>
      <c r="H9" s="100">
        <v>301221.64</v>
      </c>
      <c r="I9" s="100">
        <v>289925</v>
      </c>
      <c r="J9" s="100">
        <v>289944</v>
      </c>
      <c r="K9" s="100">
        <v>248468</v>
      </c>
      <c r="L9" s="100">
        <v>215551</v>
      </c>
      <c r="M9" s="100">
        <v>260035</v>
      </c>
      <c r="N9" s="100">
        <v>250206</v>
      </c>
      <c r="O9" s="100">
        <v>251278.64</v>
      </c>
      <c r="P9" s="100">
        <v>290527.59999999998</v>
      </c>
      <c r="Q9" s="13">
        <v>206693.7</v>
      </c>
      <c r="R9" s="37">
        <v>222731.6</v>
      </c>
    </row>
    <row r="10" spans="1:18" x14ac:dyDescent="0.2">
      <c r="A10" s="29" t="s">
        <v>17</v>
      </c>
      <c r="B10" s="35">
        <f t="shared" si="0"/>
        <v>-0.37235900573913944</v>
      </c>
      <c r="C10" s="144">
        <f>E10-[1]Italy!E10</f>
        <v>-9919.7365428114608</v>
      </c>
      <c r="D10" s="13">
        <f>F10-[1]Italy!F10</f>
        <v>-14049.850000000006</v>
      </c>
      <c r="E10" s="130">
        <v>17590.8</v>
      </c>
      <c r="F10" s="13">
        <v>28026.85</v>
      </c>
      <c r="G10" s="13">
        <v>27370.799999999999</v>
      </c>
      <c r="H10" s="100">
        <v>22537.264999999999</v>
      </c>
      <c r="I10" s="100">
        <v>32256.174999999999</v>
      </c>
      <c r="J10" s="100">
        <v>25117</v>
      </c>
      <c r="K10" s="100">
        <v>22884</v>
      </c>
      <c r="L10" s="100">
        <v>5994</v>
      </c>
      <c r="M10" s="100">
        <v>17381</v>
      </c>
      <c r="N10" s="100">
        <v>12774</v>
      </c>
      <c r="O10" s="100">
        <v>8648.0400000000009</v>
      </c>
      <c r="P10" s="100">
        <v>10379</v>
      </c>
      <c r="Q10" s="13">
        <v>1770</v>
      </c>
      <c r="R10" s="37">
        <v>4104.8999999999996</v>
      </c>
    </row>
    <row r="11" spans="1:18" x14ac:dyDescent="0.2">
      <c r="A11" s="29" t="s">
        <v>10</v>
      </c>
      <c r="B11" s="35">
        <f t="shared" si="0"/>
        <v>-1</v>
      </c>
      <c r="C11" s="144">
        <f>E11-[1]Italy!E11</f>
        <v>0</v>
      </c>
      <c r="D11" s="13">
        <f>F11-[1]Italy!F11</f>
        <v>0</v>
      </c>
      <c r="E11" s="130"/>
      <c r="F11" s="13">
        <v>40</v>
      </c>
      <c r="G11" s="13">
        <v>313</v>
      </c>
      <c r="H11" s="100">
        <v>517</v>
      </c>
      <c r="I11" s="100">
        <v>792.6</v>
      </c>
      <c r="J11" s="100">
        <v>450</v>
      </c>
      <c r="K11" s="100">
        <v>2018</v>
      </c>
      <c r="L11" s="100">
        <v>1720</v>
      </c>
      <c r="M11" s="100">
        <v>1929</v>
      </c>
      <c r="N11" s="100">
        <v>438</v>
      </c>
      <c r="O11" s="100">
        <v>2634.06</v>
      </c>
      <c r="P11" s="100">
        <v>2993</v>
      </c>
      <c r="Q11" s="13">
        <v>2465</v>
      </c>
      <c r="R11" s="37">
        <v>2680.8</v>
      </c>
    </row>
    <row r="12" spans="1:18" x14ac:dyDescent="0.2">
      <c r="A12" s="29" t="s">
        <v>27</v>
      </c>
      <c r="B12" s="35">
        <f t="shared" si="0"/>
        <v>-0.19539525915844394</v>
      </c>
      <c r="C12" s="144">
        <f>E12-[1]Italy!E12</f>
        <v>-450.09999999999991</v>
      </c>
      <c r="D12" s="13">
        <f>F12-[1]Italy!F12</f>
        <v>86.899999999999636</v>
      </c>
      <c r="E12" s="130">
        <v>3547.1</v>
      </c>
      <c r="F12" s="13">
        <v>4408.5</v>
      </c>
      <c r="G12" s="13">
        <v>2620</v>
      </c>
      <c r="H12" s="100">
        <v>3525</v>
      </c>
      <c r="I12" s="100">
        <v>6764.5</v>
      </c>
      <c r="J12" s="100">
        <v>6312</v>
      </c>
      <c r="K12" s="100">
        <v>8958</v>
      </c>
      <c r="L12" s="100">
        <v>5139</v>
      </c>
      <c r="M12" s="100">
        <v>8337</v>
      </c>
      <c r="N12" s="100">
        <v>834</v>
      </c>
      <c r="O12" s="100">
        <v>10835.89</v>
      </c>
      <c r="P12" s="100">
        <v>11587</v>
      </c>
      <c r="Q12" s="13">
        <v>9596</v>
      </c>
      <c r="R12" s="37">
        <v>8381.6</v>
      </c>
    </row>
    <row r="13" spans="1:18" x14ac:dyDescent="0.2">
      <c r="A13" s="29" t="s">
        <v>50</v>
      </c>
      <c r="B13" s="35"/>
      <c r="C13" s="144">
        <f>E13-[1]Italy!E13</f>
        <v>0</v>
      </c>
      <c r="D13" s="13">
        <f>F13-[1]Italy!F13</f>
        <v>0</v>
      </c>
      <c r="E13" s="130"/>
      <c r="F13" s="13">
        <v>0</v>
      </c>
      <c r="G13" s="13">
        <v>0</v>
      </c>
      <c r="H13" s="100">
        <v>0</v>
      </c>
      <c r="I13" s="100">
        <v>0</v>
      </c>
      <c r="J13" s="100">
        <v>5</v>
      </c>
      <c r="K13" s="100"/>
      <c r="L13" s="100">
        <v>0</v>
      </c>
      <c r="M13" s="100">
        <v>0</v>
      </c>
      <c r="N13" s="100">
        <v>0</v>
      </c>
      <c r="O13" s="100">
        <v>2</v>
      </c>
      <c r="P13" s="100">
        <v>0</v>
      </c>
      <c r="Q13" s="13">
        <v>0</v>
      </c>
      <c r="R13" s="37">
        <v>5</v>
      </c>
    </row>
    <row r="14" spans="1:18" x14ac:dyDescent="0.2">
      <c r="A14" s="29" t="s">
        <v>106</v>
      </c>
      <c r="B14" s="35">
        <f t="shared" si="0"/>
        <v>-0.49291751074985829</v>
      </c>
      <c r="C14" s="144">
        <f>E14-[1]Italy!E14</f>
        <v>-1946.0460628237861</v>
      </c>
      <c r="D14" s="13">
        <f>F14-[1]Italy!F14</f>
        <v>-1212.7899999999991</v>
      </c>
      <c r="E14" s="130">
        <v>3246.55</v>
      </c>
      <c r="F14" s="13">
        <v>6402.4100000000008</v>
      </c>
      <c r="G14" s="13">
        <v>928.4</v>
      </c>
      <c r="H14" s="100">
        <v>5637.53</v>
      </c>
      <c r="I14" s="100">
        <v>6947.24</v>
      </c>
      <c r="J14" s="100">
        <v>9321</v>
      </c>
      <c r="K14" s="100">
        <v>7561</v>
      </c>
      <c r="L14" s="100">
        <v>6315</v>
      </c>
      <c r="M14" s="100">
        <v>4126</v>
      </c>
      <c r="N14" s="100">
        <v>8511</v>
      </c>
      <c r="O14" s="100">
        <v>5431.25</v>
      </c>
      <c r="P14" s="100">
        <v>14997.7</v>
      </c>
      <c r="Q14" s="13">
        <v>5872</v>
      </c>
      <c r="R14" s="37">
        <v>11684.1</v>
      </c>
    </row>
    <row r="15" spans="1:18" x14ac:dyDescent="0.2">
      <c r="A15" s="29" t="s">
        <v>13</v>
      </c>
      <c r="B15" s="35">
        <f t="shared" si="0"/>
        <v>-0.26355533131516995</v>
      </c>
      <c r="C15" s="144">
        <f>E15-[1]Italy!E15</f>
        <v>-8141.7000000000025</v>
      </c>
      <c r="D15" s="13">
        <f>F15-[1]Italy!F15</f>
        <v>-5445</v>
      </c>
      <c r="E15" s="130">
        <v>13136.699999999999</v>
      </c>
      <c r="F15" s="13">
        <v>17838</v>
      </c>
      <c r="G15" s="13"/>
      <c r="H15" s="100"/>
      <c r="I15" s="100"/>
      <c r="J15" s="100"/>
      <c r="K15" s="100"/>
      <c r="L15" s="100"/>
      <c r="M15" s="100"/>
      <c r="N15" s="100"/>
      <c r="O15" s="100"/>
      <c r="P15" s="100"/>
      <c r="Q15" s="13"/>
      <c r="R15" s="37"/>
    </row>
    <row r="16" spans="1:18" x14ac:dyDescent="0.2">
      <c r="A16" s="29" t="s">
        <v>19</v>
      </c>
      <c r="B16" s="35">
        <f t="shared" si="0"/>
        <v>-0.34111642418692978</v>
      </c>
      <c r="C16" s="144">
        <f>E16-[1]Italy!E16</f>
        <v>-24049.916841427596</v>
      </c>
      <c r="D16" s="13">
        <f>F16-[1]Italy!F16</f>
        <v>-27244.120000000003</v>
      </c>
      <c r="E16" s="130">
        <v>26034.19</v>
      </c>
      <c r="F16" s="13">
        <v>39512.579999999994</v>
      </c>
      <c r="G16" s="13">
        <v>19788.610000000004</v>
      </c>
      <c r="H16" s="100">
        <v>43288.15</v>
      </c>
      <c r="I16" s="100">
        <v>38903.79</v>
      </c>
      <c r="J16" s="100">
        <v>32559</v>
      </c>
      <c r="K16" s="100">
        <v>38044</v>
      </c>
      <c r="L16" s="100">
        <v>22448</v>
      </c>
      <c r="M16" s="100">
        <v>24132</v>
      </c>
      <c r="N16" s="100">
        <v>22374</v>
      </c>
      <c r="O16" s="100">
        <v>36049.660000000003</v>
      </c>
      <c r="P16" s="100">
        <v>25369.5</v>
      </c>
      <c r="Q16" s="13">
        <v>10959.2</v>
      </c>
      <c r="R16" s="37">
        <v>36157.300000000003</v>
      </c>
    </row>
    <row r="17" spans="1:18" x14ac:dyDescent="0.2">
      <c r="A17" s="29" t="s">
        <v>107</v>
      </c>
      <c r="B17" s="35">
        <f t="shared" si="0"/>
        <v>-0.82424490751580426</v>
      </c>
      <c r="C17" s="144">
        <f>E17-[1]Italy!E17</f>
        <v>-4775.8999999999996</v>
      </c>
      <c r="D17" s="13">
        <f>F17-[1]Italy!F17</f>
        <v>-3685</v>
      </c>
      <c r="E17" s="130">
        <v>1501.3</v>
      </c>
      <c r="F17" s="13">
        <v>8542</v>
      </c>
      <c r="G17" s="13">
        <v>0</v>
      </c>
      <c r="H17" s="100">
        <v>5628.3</v>
      </c>
      <c r="I17" s="100">
        <v>5299</v>
      </c>
      <c r="J17" s="100">
        <v>5056</v>
      </c>
      <c r="K17" s="100">
        <v>3287</v>
      </c>
      <c r="L17" s="100">
        <v>765</v>
      </c>
      <c r="M17" s="100">
        <v>1828</v>
      </c>
      <c r="N17" s="100">
        <v>2135</v>
      </c>
      <c r="O17" s="100">
        <v>1665</v>
      </c>
      <c r="P17" s="100">
        <v>199</v>
      </c>
      <c r="Q17" s="13">
        <v>1486</v>
      </c>
      <c r="R17" s="37">
        <v>0</v>
      </c>
    </row>
    <row r="18" spans="1:18" x14ac:dyDescent="0.2">
      <c r="A18" s="29" t="s">
        <v>21</v>
      </c>
      <c r="B18" s="35">
        <f t="shared" si="0"/>
        <v>-1</v>
      </c>
      <c r="C18" s="144">
        <f>E18-[1]Italy!E18</f>
        <v>0</v>
      </c>
      <c r="D18" s="13">
        <f>F18-[1]Italy!F18</f>
        <v>-7</v>
      </c>
      <c r="E18" s="130"/>
      <c r="F18" s="13">
        <v>400</v>
      </c>
      <c r="G18" s="13">
        <v>245.8</v>
      </c>
      <c r="H18" s="100">
        <v>2989.3</v>
      </c>
      <c r="I18" s="100">
        <v>4465.6000000000004</v>
      </c>
      <c r="J18" s="100">
        <v>3756</v>
      </c>
      <c r="K18" s="100">
        <v>2792</v>
      </c>
      <c r="L18" s="100">
        <v>42</v>
      </c>
      <c r="M18" s="100">
        <v>3072</v>
      </c>
      <c r="N18" s="100">
        <v>3639</v>
      </c>
      <c r="O18" s="100">
        <v>1223.69</v>
      </c>
      <c r="P18" s="100">
        <v>2334</v>
      </c>
      <c r="Q18" s="13">
        <v>211</v>
      </c>
      <c r="R18" s="37">
        <v>3534.3</v>
      </c>
    </row>
    <row r="19" spans="1:18" ht="13.5" thickBot="1" x14ac:dyDescent="0.25">
      <c r="A19" s="30" t="s">
        <v>59</v>
      </c>
      <c r="B19" s="36">
        <f t="shared" si="0"/>
        <v>-0.46885614309925616</v>
      </c>
      <c r="C19" s="145">
        <f>E19-[1]Italy!E19</f>
        <v>-11082</v>
      </c>
      <c r="D19" s="15">
        <f>F19-[1]Italy!F19</f>
        <v>-8816.9499999999971</v>
      </c>
      <c r="E19" s="131">
        <f>2459+8933</f>
        <v>11392</v>
      </c>
      <c r="F19" s="15">
        <v>21448.050000000003</v>
      </c>
      <c r="G19" s="15">
        <v>4271.7999999999993</v>
      </c>
      <c r="H19" s="101">
        <v>22992.2</v>
      </c>
      <c r="I19" s="101">
        <v>14523.5</v>
      </c>
      <c r="J19" s="101">
        <v>13667</v>
      </c>
      <c r="K19" s="101">
        <v>10455</v>
      </c>
      <c r="L19" s="101">
        <v>2563</v>
      </c>
      <c r="M19" s="101">
        <v>6329</v>
      </c>
      <c r="N19" s="101">
        <v>13296</v>
      </c>
      <c r="O19" s="101">
        <v>11584</v>
      </c>
      <c r="P19" s="101">
        <v>6291</v>
      </c>
      <c r="Q19" s="15">
        <v>3369</v>
      </c>
      <c r="R19" s="39">
        <v>4856.6000000000004</v>
      </c>
    </row>
    <row r="20" spans="1:18" ht="13.5" thickBot="1" x14ac:dyDescent="0.25">
      <c r="A20" s="45" t="s">
        <v>23</v>
      </c>
      <c r="B20" s="41">
        <f t="shared" si="0"/>
        <v>-0.29703512616402278</v>
      </c>
      <c r="C20" s="155">
        <f>E20-[1]Italy!E20</f>
        <v>-204334.84613923304</v>
      </c>
      <c r="D20" s="42">
        <f>F20-[1]Italy!F20</f>
        <v>-191118.96999999991</v>
      </c>
      <c r="E20" s="123">
        <f>SUM(E2:E19)</f>
        <v>352379.16</v>
      </c>
      <c r="F20" s="42">
        <f>SUM(F2:F19)</f>
        <v>501275.62999999995</v>
      </c>
      <c r="G20" s="42">
        <f t="shared" ref="G20:L20" si="1">SUM(G2:G19)</f>
        <v>185842.63999999996</v>
      </c>
      <c r="H20" s="42">
        <f t="shared" si="1"/>
        <v>470610.35500000004</v>
      </c>
      <c r="I20" s="42">
        <f t="shared" si="1"/>
        <v>465821.10499999992</v>
      </c>
      <c r="J20" s="42">
        <f t="shared" si="1"/>
        <v>455710</v>
      </c>
      <c r="K20" s="42">
        <f t="shared" si="1"/>
        <v>412022</v>
      </c>
      <c r="L20" s="42">
        <f t="shared" si="1"/>
        <v>283337</v>
      </c>
      <c r="M20" s="42">
        <f t="shared" ref="M20:R20" si="2">SUM(M2:M19)</f>
        <v>383810</v>
      </c>
      <c r="N20" s="42">
        <f t="shared" si="2"/>
        <v>371916</v>
      </c>
      <c r="O20" s="42">
        <f t="shared" si="2"/>
        <v>374740.32</v>
      </c>
      <c r="P20" s="42">
        <f t="shared" si="2"/>
        <v>394307.89999999997</v>
      </c>
      <c r="Q20" s="42">
        <f t="shared" si="2"/>
        <v>267141.60000000003</v>
      </c>
      <c r="R20" s="43">
        <f t="shared" si="2"/>
        <v>315450.49999999994</v>
      </c>
    </row>
    <row r="21" spans="1:18" s="9" customFormat="1" x14ac:dyDescent="0.2">
      <c r="B21" s="44"/>
      <c r="C21" s="44"/>
      <c r="D21" s="44"/>
      <c r="E21" s="44"/>
      <c r="F21" s="44"/>
      <c r="G21" s="44"/>
      <c r="H21" s="44"/>
      <c r="I21" s="12"/>
      <c r="J21" s="12"/>
      <c r="K21" s="12"/>
      <c r="L21" s="12"/>
      <c r="M21" s="12"/>
      <c r="N21" s="12"/>
      <c r="O21" s="12"/>
      <c r="P21" s="12"/>
    </row>
    <row r="22" spans="1:18" s="9" customFormat="1" ht="13.5" thickBot="1" x14ac:dyDescent="0.25">
      <c r="B22" s="44"/>
      <c r="C22" s="44"/>
      <c r="D22" s="44"/>
      <c r="E22" s="44"/>
      <c r="F22" s="44"/>
      <c r="G22" s="44"/>
      <c r="H22" s="44"/>
      <c r="I22" s="12"/>
      <c r="J22" s="12"/>
      <c r="K22" s="12"/>
      <c r="L22" s="12"/>
      <c r="M22" s="12"/>
      <c r="N22" s="12"/>
      <c r="O22" s="12"/>
      <c r="P22" s="12"/>
    </row>
    <row r="23" spans="1:18" s="16" customFormat="1" ht="13.5" thickBot="1" x14ac:dyDescent="0.25">
      <c r="A23" s="31" t="s">
        <v>146</v>
      </c>
      <c r="B23" s="32" t="s">
        <v>176</v>
      </c>
      <c r="C23" s="62" t="s">
        <v>177</v>
      </c>
      <c r="D23" s="99" t="s">
        <v>174</v>
      </c>
      <c r="E23" s="129">
        <v>43952</v>
      </c>
      <c r="F23" s="137">
        <v>43586</v>
      </c>
      <c r="G23" s="137">
        <v>43221</v>
      </c>
      <c r="H23" s="33">
        <v>42856</v>
      </c>
      <c r="I23" s="33">
        <v>42491</v>
      </c>
      <c r="J23" s="33">
        <v>42125</v>
      </c>
      <c r="K23" s="33">
        <v>41760</v>
      </c>
      <c r="L23" s="33">
        <v>41395</v>
      </c>
      <c r="M23" s="33">
        <v>41030</v>
      </c>
      <c r="N23" s="33">
        <v>40664</v>
      </c>
      <c r="O23" s="33">
        <v>40299</v>
      </c>
      <c r="P23" s="33">
        <v>39934</v>
      </c>
      <c r="Q23" s="33">
        <v>39569</v>
      </c>
      <c r="R23" s="34">
        <v>39203</v>
      </c>
    </row>
    <row r="24" spans="1:18" x14ac:dyDescent="0.2">
      <c r="A24" s="27" t="s">
        <v>104</v>
      </c>
      <c r="B24" s="35">
        <f t="shared" ref="B24:B29" si="3">(E24-F24)/F24</f>
        <v>-1</v>
      </c>
      <c r="C24" s="144">
        <f>E24-[1]Italy!E24</f>
        <v>0</v>
      </c>
      <c r="D24" s="13">
        <f>F24-[1]Italy!F24</f>
        <v>-21222.896986199801</v>
      </c>
      <c r="E24" s="130">
        <v>0</v>
      </c>
      <c r="F24" s="13">
        <v>5606.9228439924773</v>
      </c>
      <c r="G24" s="13">
        <v>14445.025666480678</v>
      </c>
      <c r="H24" s="13">
        <v>3805.6210582356935</v>
      </c>
      <c r="I24" s="13">
        <v>4733.7553030773106</v>
      </c>
      <c r="J24" s="13">
        <v>764.80051412556384</v>
      </c>
      <c r="K24" s="13">
        <v>1821.1655840767778</v>
      </c>
      <c r="L24" s="13">
        <v>0</v>
      </c>
      <c r="M24" s="13"/>
      <c r="N24" s="13">
        <v>463</v>
      </c>
      <c r="O24" s="13"/>
      <c r="P24" s="13"/>
      <c r="Q24" s="13">
        <v>1064</v>
      </c>
      <c r="R24" s="37">
        <v>277</v>
      </c>
    </row>
    <row r="25" spans="1:18" x14ac:dyDescent="0.2">
      <c r="A25" s="27" t="s">
        <v>7</v>
      </c>
      <c r="B25" s="35">
        <f t="shared" si="3"/>
        <v>-1</v>
      </c>
      <c r="C25" s="144">
        <f>E25-[1]Italy!E25</f>
        <v>0</v>
      </c>
      <c r="D25" s="13">
        <f>F25-[1]Italy!F25</f>
        <v>-7181.0672734135751</v>
      </c>
      <c r="E25" s="130">
        <v>0</v>
      </c>
      <c r="F25" s="13">
        <v>9307.0156177650806</v>
      </c>
      <c r="G25" s="13">
        <v>9960.1854025108569</v>
      </c>
      <c r="H25" s="13">
        <v>2521.6566970055783</v>
      </c>
      <c r="I25" s="13">
        <v>15849.63778829697</v>
      </c>
      <c r="J25" s="13">
        <v>6456.2441327016413</v>
      </c>
      <c r="K25" s="13">
        <v>17756.830140004167</v>
      </c>
      <c r="L25" s="13">
        <v>5690</v>
      </c>
      <c r="M25" s="13">
        <v>27832.41228953519</v>
      </c>
      <c r="N25" s="13">
        <v>9347.1395457064536</v>
      </c>
      <c r="O25" s="13">
        <v>20258</v>
      </c>
      <c r="P25" s="13">
        <v>14541</v>
      </c>
      <c r="Q25" s="13">
        <v>12963</v>
      </c>
      <c r="R25" s="37">
        <v>20209</v>
      </c>
    </row>
    <row r="26" spans="1:18" x14ac:dyDescent="0.2">
      <c r="A26" s="27" t="s">
        <v>105</v>
      </c>
      <c r="B26" s="35">
        <f t="shared" si="3"/>
        <v>-1</v>
      </c>
      <c r="C26" s="144">
        <f>E26-[1]Italy!E26</f>
        <v>0</v>
      </c>
      <c r="D26" s="13">
        <f>F26-[1]Italy!F26</f>
        <v>-758.26725882071025</v>
      </c>
      <c r="E26" s="130">
        <v>0</v>
      </c>
      <c r="F26" s="13">
        <v>231.90214708135042</v>
      </c>
      <c r="G26" s="13">
        <v>24.019344704695836</v>
      </c>
      <c r="H26" s="13">
        <v>20.476848835289953</v>
      </c>
      <c r="I26" s="13">
        <v>38.579321044478284</v>
      </c>
      <c r="J26" s="13">
        <v>225</v>
      </c>
      <c r="K26" s="13">
        <v>87</v>
      </c>
      <c r="L26" s="13">
        <v>0</v>
      </c>
      <c r="M26" s="13"/>
      <c r="N26" s="13">
        <v>6</v>
      </c>
      <c r="O26" s="13"/>
      <c r="P26" s="13"/>
      <c r="Q26" s="13">
        <v>623</v>
      </c>
      <c r="R26" s="37">
        <v>741</v>
      </c>
    </row>
    <row r="27" spans="1:18" x14ac:dyDescent="0.2">
      <c r="A27" s="27" t="s">
        <v>30</v>
      </c>
      <c r="B27" s="35">
        <f t="shared" si="3"/>
        <v>-1</v>
      </c>
      <c r="C27" s="144">
        <f>E27-[1]Italy!E27</f>
        <v>0</v>
      </c>
      <c r="D27" s="13">
        <f>F27-[1]Italy!F27</f>
        <v>-2988.0943821073233</v>
      </c>
      <c r="E27" s="130">
        <v>0</v>
      </c>
      <c r="F27" s="13">
        <v>810.35853971197707</v>
      </c>
      <c r="G27" s="13">
        <v>2259.0144468612793</v>
      </c>
      <c r="H27" s="13">
        <v>531.34407391133084</v>
      </c>
      <c r="I27" s="13">
        <v>1411.3845740371353</v>
      </c>
      <c r="J27" s="13">
        <v>456.11630154620212</v>
      </c>
      <c r="K27" s="13">
        <v>3460.5096600809352</v>
      </c>
      <c r="L27" s="13">
        <v>62</v>
      </c>
      <c r="M27" s="13"/>
      <c r="N27" s="13">
        <v>110.2569410366679</v>
      </c>
      <c r="O27" s="13"/>
      <c r="P27" s="13"/>
      <c r="Q27" s="13">
        <v>282</v>
      </c>
      <c r="R27" s="37">
        <v>473</v>
      </c>
    </row>
    <row r="28" spans="1:18" ht="13.5" thickBot="1" x14ac:dyDescent="0.25">
      <c r="A28" s="38" t="s">
        <v>59</v>
      </c>
      <c r="B28" s="36">
        <f t="shared" si="3"/>
        <v>-1</v>
      </c>
      <c r="C28" s="145">
        <f>E28-[1]Italy!E28</f>
        <v>0</v>
      </c>
      <c r="D28" s="15">
        <f>F28-[1]Italy!F28</f>
        <v>-1306.7654276485753</v>
      </c>
      <c r="E28" s="131">
        <v>0</v>
      </c>
      <c r="F28" s="15">
        <v>20.951297483881294</v>
      </c>
      <c r="G28" s="15">
        <v>48</v>
      </c>
      <c r="H28" s="15">
        <v>0</v>
      </c>
      <c r="I28" s="15">
        <v>116.45999434346926</v>
      </c>
      <c r="J28" s="15">
        <v>65</v>
      </c>
      <c r="K28" s="15">
        <v>173.79066789683088</v>
      </c>
      <c r="L28" s="15">
        <v>0</v>
      </c>
      <c r="M28" s="15">
        <v>8050.0951614612204</v>
      </c>
      <c r="N28" s="15"/>
      <c r="O28" s="15">
        <v>4990</v>
      </c>
      <c r="P28" s="15">
        <v>75</v>
      </c>
      <c r="Q28" s="15">
        <v>71</v>
      </c>
      <c r="R28" s="39">
        <v>0</v>
      </c>
    </row>
    <row r="29" spans="1:18" ht="13.5" thickBot="1" x14ac:dyDescent="0.25">
      <c r="A29" s="40" t="s">
        <v>23</v>
      </c>
      <c r="B29" s="41">
        <f t="shared" si="3"/>
        <v>-1</v>
      </c>
      <c r="C29" s="155">
        <f>E29-[1]Italy!E29</f>
        <v>0</v>
      </c>
      <c r="D29" s="42">
        <f>F29-[1]Italy!F29</f>
        <v>-33457.091328189985</v>
      </c>
      <c r="E29" s="123">
        <f>SUM(E24:E28)</f>
        <v>0</v>
      </c>
      <c r="F29" s="42">
        <f>SUM(F24:F28)</f>
        <v>15977.150446034766</v>
      </c>
      <c r="G29" s="42">
        <f>SUM(G24:G28)</f>
        <v>26736.244860557508</v>
      </c>
      <c r="H29" s="42">
        <v>6879.0986779878931</v>
      </c>
      <c r="I29" s="42">
        <v>22149.816980799365</v>
      </c>
      <c r="J29" s="42">
        <v>7967.1609483734073</v>
      </c>
      <c r="K29" s="42">
        <v>23299.296052058711</v>
      </c>
      <c r="L29" s="42">
        <v>5752</v>
      </c>
      <c r="M29" s="42">
        <v>35882.507450996411</v>
      </c>
      <c r="N29" s="42">
        <f>SUM(N24:N28)</f>
        <v>9926.3964867431223</v>
      </c>
      <c r="O29" s="42">
        <f>SUM(O24:O28)</f>
        <v>25248</v>
      </c>
      <c r="P29" s="42">
        <f>SUM(P24:P28)</f>
        <v>14616</v>
      </c>
      <c r="Q29" s="42">
        <f>SUM(Q24:Q28)</f>
        <v>15003</v>
      </c>
      <c r="R29" s="43">
        <f>SUM(R24:R28)</f>
        <v>21700</v>
      </c>
    </row>
    <row r="30" spans="1:18" x14ac:dyDescent="0.2">
      <c r="A30" s="12" t="s">
        <v>147</v>
      </c>
    </row>
    <row r="35" spans="17:19" ht="18" x14ac:dyDescent="0.25">
      <c r="Q35" s="5"/>
      <c r="R35" s="1"/>
      <c r="S35" s="1"/>
    </row>
    <row r="36" spans="17:19" ht="18" x14ac:dyDescent="0.25">
      <c r="Q36" s="5"/>
      <c r="R36" s="1"/>
      <c r="S36" s="1"/>
    </row>
    <row r="37" spans="17:19" ht="18" x14ac:dyDescent="0.25">
      <c r="Q37" s="5"/>
      <c r="R37" s="1"/>
      <c r="S37" s="1"/>
    </row>
    <row r="38" spans="17:19" ht="18" x14ac:dyDescent="0.25">
      <c r="Q38" s="5"/>
      <c r="R38" s="1"/>
      <c r="S38" s="1"/>
    </row>
    <row r="39" spans="17:19" ht="18" x14ac:dyDescent="0.25">
      <c r="Q39" s="5"/>
      <c r="R39" s="1"/>
      <c r="S39" s="1"/>
    </row>
    <row r="40" spans="17:19" ht="18" x14ac:dyDescent="0.25">
      <c r="Q40" s="5"/>
      <c r="R40" s="1"/>
      <c r="S40" s="1"/>
    </row>
    <row r="41" spans="17:19" ht="18" x14ac:dyDescent="0.25">
      <c r="Q41" s="5"/>
      <c r="R41" s="1"/>
      <c r="S41" s="1"/>
    </row>
    <row r="42" spans="17:19" ht="18" x14ac:dyDescent="0.25">
      <c r="Q42" s="5"/>
      <c r="R42" s="1"/>
      <c r="S42" s="1"/>
    </row>
    <row r="43" spans="17:19" ht="18" x14ac:dyDescent="0.25">
      <c r="Q43" s="5"/>
      <c r="R43" s="1"/>
      <c r="S43" s="1"/>
    </row>
    <row r="44" spans="17:19" ht="18" x14ac:dyDescent="0.25">
      <c r="Q44" s="5"/>
      <c r="R44" s="1"/>
      <c r="S44" s="1"/>
    </row>
    <row r="45" spans="17:19" ht="18" x14ac:dyDescent="0.25">
      <c r="Q45" s="6"/>
      <c r="R45" s="1"/>
      <c r="S45" s="1"/>
    </row>
    <row r="46" spans="17:19" ht="18.75" x14ac:dyDescent="0.3">
      <c r="Q46" s="7"/>
      <c r="R46" s="2"/>
      <c r="S46" s="2"/>
    </row>
  </sheetData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82" zoomScaleNormal="82" workbookViewId="0">
      <selection activeCell="C23" sqref="C23"/>
    </sheetView>
  </sheetViews>
  <sheetFormatPr defaultColWidth="9.28515625" defaultRowHeight="12.75" x14ac:dyDescent="0.2"/>
  <cols>
    <col min="1" max="1" width="29.28515625" customWidth="1"/>
    <col min="2" max="2" width="10.7109375" customWidth="1"/>
    <col min="3" max="3" width="11.5703125" bestFit="1" customWidth="1"/>
    <col min="4" max="7" width="11.42578125" style="9" customWidth="1"/>
    <col min="8" max="8" width="10.28515625" style="9" bestFit="1" customWidth="1"/>
    <col min="9" max="16" width="10.28515625" style="12" bestFit="1" customWidth="1"/>
    <col min="17" max="18" width="10.28515625" bestFit="1" customWidth="1"/>
  </cols>
  <sheetData>
    <row r="1" spans="1:18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8" x14ac:dyDescent="0.2">
      <c r="A2" s="53" t="s">
        <v>4</v>
      </c>
      <c r="B2" s="35"/>
      <c r="C2" s="144">
        <f>E2-[1]Poland!E2</f>
        <v>0</v>
      </c>
      <c r="D2" s="13">
        <f>F2-[1]Poland!F2</f>
        <v>0</v>
      </c>
      <c r="E2" s="130"/>
      <c r="F2" s="13"/>
      <c r="G2" s="13"/>
      <c r="H2" s="13"/>
      <c r="I2" s="13"/>
      <c r="J2" s="13"/>
      <c r="K2" s="13"/>
      <c r="L2" s="13"/>
      <c r="M2" s="13"/>
      <c r="N2" s="13"/>
      <c r="O2" s="13">
        <v>0</v>
      </c>
      <c r="P2" s="13">
        <v>0</v>
      </c>
      <c r="Q2" s="13">
        <v>0</v>
      </c>
      <c r="R2" s="37">
        <v>0</v>
      </c>
    </row>
    <row r="3" spans="1:18" x14ac:dyDescent="0.2">
      <c r="A3" s="53" t="s">
        <v>33</v>
      </c>
      <c r="B3" s="35"/>
      <c r="C3" s="144">
        <f>E3-[1]Poland!E3</f>
        <v>0</v>
      </c>
      <c r="D3" s="13">
        <f>F3-[1]Poland!F3</f>
        <v>0</v>
      </c>
      <c r="E3" s="130"/>
      <c r="F3" s="13"/>
      <c r="G3" s="13"/>
      <c r="H3" s="13"/>
      <c r="I3" s="13"/>
      <c r="J3" s="13"/>
      <c r="K3" s="13"/>
      <c r="L3" s="13"/>
      <c r="M3" s="13"/>
      <c r="N3" s="13"/>
      <c r="O3" s="13">
        <v>1000</v>
      </c>
      <c r="P3" s="13">
        <v>500</v>
      </c>
      <c r="Q3" s="13">
        <v>0</v>
      </c>
      <c r="R3" s="37">
        <v>3000</v>
      </c>
    </row>
    <row r="4" spans="1:18" x14ac:dyDescent="0.2">
      <c r="A4" s="27" t="s">
        <v>2</v>
      </c>
      <c r="B4" s="35"/>
      <c r="C4" s="144">
        <f>E4-[1]Poland!E4</f>
        <v>0</v>
      </c>
      <c r="D4" s="13">
        <f>F4-[1]Poland!F4</f>
        <v>0</v>
      </c>
      <c r="E4" s="130"/>
      <c r="F4" s="13"/>
      <c r="G4" s="13"/>
      <c r="H4" s="13"/>
      <c r="I4" s="13"/>
      <c r="J4" s="13"/>
      <c r="K4" s="13"/>
      <c r="L4" s="13"/>
      <c r="M4" s="13"/>
      <c r="N4" s="13"/>
      <c r="O4" s="13">
        <v>1000</v>
      </c>
      <c r="P4" s="13">
        <v>500</v>
      </c>
      <c r="Q4" s="13">
        <v>0</v>
      </c>
      <c r="R4" s="37">
        <v>0</v>
      </c>
    </row>
    <row r="5" spans="1:18" x14ac:dyDescent="0.2">
      <c r="A5" s="27" t="s">
        <v>9</v>
      </c>
      <c r="B5" s="35">
        <f t="shared" ref="B5:B18" si="0">(E5-F5)/F5</f>
        <v>-0.4</v>
      </c>
      <c r="C5" s="144">
        <f>E5-[1]Poland!E5</f>
        <v>-12000</v>
      </c>
      <c r="D5" s="13">
        <f>F5-[1]Poland!F5</f>
        <v>-15000</v>
      </c>
      <c r="E5" s="130">
        <v>3000</v>
      </c>
      <c r="F5" s="13">
        <v>5000</v>
      </c>
      <c r="G5" s="13">
        <v>5000</v>
      </c>
      <c r="H5" s="13">
        <v>5000</v>
      </c>
      <c r="I5" s="13">
        <v>5000</v>
      </c>
      <c r="J5" s="13">
        <v>5000</v>
      </c>
      <c r="K5" s="13">
        <v>15000</v>
      </c>
      <c r="L5" s="13">
        <v>2000</v>
      </c>
      <c r="M5" s="13">
        <v>1000</v>
      </c>
      <c r="N5" s="13">
        <v>8000</v>
      </c>
      <c r="O5" s="13">
        <v>15000</v>
      </c>
      <c r="P5" s="13">
        <v>4000</v>
      </c>
      <c r="Q5" s="13">
        <v>2000</v>
      </c>
      <c r="R5" s="37">
        <v>5000</v>
      </c>
    </row>
    <row r="6" spans="1:18" x14ac:dyDescent="0.2">
      <c r="A6" s="27" t="s">
        <v>14</v>
      </c>
      <c r="B6" s="35">
        <f t="shared" si="0"/>
        <v>-0.12</v>
      </c>
      <c r="C6" s="144">
        <f>E6-[1]Poland!E6</f>
        <v>-18000</v>
      </c>
      <c r="D6" s="13">
        <f>F6-[1]Poland!F6</f>
        <v>-15000</v>
      </c>
      <c r="E6" s="130">
        <v>22000</v>
      </c>
      <c r="F6" s="13">
        <v>25000</v>
      </c>
      <c r="G6" s="13">
        <v>25000</v>
      </c>
      <c r="H6" s="13">
        <v>25000</v>
      </c>
      <c r="I6" s="13">
        <v>25000</v>
      </c>
      <c r="J6" s="13">
        <v>20000</v>
      </c>
      <c r="K6" s="13">
        <v>20000</v>
      </c>
      <c r="L6" s="13">
        <v>15000</v>
      </c>
      <c r="M6" s="13">
        <v>20000</v>
      </c>
      <c r="N6" s="13">
        <v>3000</v>
      </c>
      <c r="O6" s="13">
        <v>1000</v>
      </c>
      <c r="P6" s="13">
        <v>1000</v>
      </c>
      <c r="Q6" s="13">
        <v>2000</v>
      </c>
      <c r="R6" s="37">
        <v>6000</v>
      </c>
    </row>
    <row r="7" spans="1:18" x14ac:dyDescent="0.2">
      <c r="A7" s="29" t="s">
        <v>3</v>
      </c>
      <c r="B7" s="35">
        <f t="shared" si="0"/>
        <v>-0.36363636363636365</v>
      </c>
      <c r="C7" s="144">
        <f>E7-[1]Poland!E7</f>
        <v>-25000</v>
      </c>
      <c r="D7" s="13">
        <f>F7-[1]Poland!F7</f>
        <v>-15000</v>
      </c>
      <c r="E7" s="130">
        <v>35000</v>
      </c>
      <c r="F7" s="13">
        <v>55000</v>
      </c>
      <c r="G7" s="13">
        <v>50000</v>
      </c>
      <c r="H7" s="100">
        <v>55000</v>
      </c>
      <c r="I7" s="100">
        <v>55000</v>
      </c>
      <c r="J7" s="100">
        <v>50000</v>
      </c>
      <c r="K7" s="100">
        <v>50000</v>
      </c>
      <c r="L7" s="100">
        <v>30000</v>
      </c>
      <c r="M7" s="100">
        <v>30000</v>
      </c>
      <c r="N7" s="100">
        <v>7000</v>
      </c>
      <c r="O7" s="100">
        <v>25000</v>
      </c>
      <c r="P7" s="100">
        <v>10000</v>
      </c>
      <c r="Q7" s="13">
        <v>10000</v>
      </c>
      <c r="R7" s="37">
        <v>15000</v>
      </c>
    </row>
    <row r="8" spans="1:18" x14ac:dyDescent="0.2">
      <c r="A8" s="29" t="s">
        <v>10</v>
      </c>
      <c r="B8" s="35">
        <f t="shared" si="0"/>
        <v>-0.54545454545454541</v>
      </c>
      <c r="C8" s="144">
        <f>E8-[1]Poland!E8</f>
        <v>-30000</v>
      </c>
      <c r="D8" s="13">
        <f>F8-[1]Poland!F8</f>
        <v>-80000</v>
      </c>
      <c r="E8" s="130">
        <v>50000</v>
      </c>
      <c r="F8" s="13">
        <v>110000</v>
      </c>
      <c r="G8" s="13">
        <v>60000</v>
      </c>
      <c r="H8" s="100">
        <v>105000</v>
      </c>
      <c r="I8" s="100">
        <v>110000</v>
      </c>
      <c r="J8" s="100">
        <v>70000</v>
      </c>
      <c r="K8" s="100">
        <v>70000</v>
      </c>
      <c r="L8" s="100">
        <v>55000</v>
      </c>
      <c r="M8" s="100">
        <v>60000</v>
      </c>
      <c r="N8" s="100">
        <v>20000</v>
      </c>
      <c r="O8" s="100">
        <v>46000</v>
      </c>
      <c r="P8" s="100">
        <v>30000</v>
      </c>
      <c r="Q8" s="13">
        <v>15000</v>
      </c>
      <c r="R8" s="37">
        <v>30000</v>
      </c>
    </row>
    <row r="9" spans="1:18" x14ac:dyDescent="0.2">
      <c r="A9" s="29" t="s">
        <v>27</v>
      </c>
      <c r="B9" s="35">
        <f t="shared" si="0"/>
        <v>-0.75</v>
      </c>
      <c r="C9" s="144">
        <f>E9-[1]Poland!E9</f>
        <v>-5000</v>
      </c>
      <c r="D9" s="13">
        <f>F9-[1]Poland!F9</f>
        <v>-10000</v>
      </c>
      <c r="E9" s="130">
        <v>5000</v>
      </c>
      <c r="F9" s="13">
        <v>20000</v>
      </c>
      <c r="G9" s="13">
        <v>5000</v>
      </c>
      <c r="H9" s="100">
        <v>25000</v>
      </c>
      <c r="I9" s="100">
        <v>25000</v>
      </c>
      <c r="J9" s="100">
        <v>20000</v>
      </c>
      <c r="K9" s="100">
        <v>25000</v>
      </c>
      <c r="L9" s="100">
        <v>20000</v>
      </c>
      <c r="M9" s="100">
        <v>20000</v>
      </c>
      <c r="N9" s="100">
        <v>5000</v>
      </c>
      <c r="O9" s="100">
        <v>10000</v>
      </c>
      <c r="P9" s="100">
        <v>2000</v>
      </c>
      <c r="Q9" s="13">
        <v>0</v>
      </c>
      <c r="R9" s="37">
        <v>1000</v>
      </c>
    </row>
    <row r="10" spans="1:18" x14ac:dyDescent="0.2">
      <c r="A10" s="29" t="s">
        <v>157</v>
      </c>
      <c r="B10" s="35">
        <f t="shared" si="0"/>
        <v>-0.91428571428571426</v>
      </c>
      <c r="C10" s="144">
        <f>E10-[1]Poland!E10</f>
        <v>-4000</v>
      </c>
      <c r="D10" s="13">
        <f>F10-[1]Poland!F10</f>
        <v>-30000</v>
      </c>
      <c r="E10" s="130">
        <v>3000</v>
      </c>
      <c r="F10" s="13">
        <v>35000</v>
      </c>
      <c r="G10" s="13">
        <v>15000</v>
      </c>
      <c r="H10" s="100">
        <v>30000</v>
      </c>
      <c r="I10" s="100">
        <v>35000</v>
      </c>
      <c r="J10" s="100">
        <v>30000</v>
      </c>
      <c r="K10" s="100">
        <v>35000</v>
      </c>
      <c r="L10" s="100">
        <v>35000</v>
      </c>
      <c r="M10" s="100">
        <v>40000</v>
      </c>
      <c r="N10" s="100"/>
      <c r="O10" s="100">
        <v>0</v>
      </c>
      <c r="P10" s="100">
        <v>0</v>
      </c>
      <c r="Q10" s="13">
        <v>0</v>
      </c>
      <c r="R10" s="37">
        <v>0</v>
      </c>
    </row>
    <row r="11" spans="1:18" x14ac:dyDescent="0.2">
      <c r="A11" s="84" t="s">
        <v>34</v>
      </c>
      <c r="B11" s="35"/>
      <c r="C11" s="144">
        <f>E11-[1]Poland!E11</f>
        <v>0</v>
      </c>
      <c r="D11" s="13">
        <f>F11-[1]Poland!F11</f>
        <v>0</v>
      </c>
      <c r="E11" s="130"/>
      <c r="F11" s="13"/>
      <c r="G11" s="13"/>
      <c r="H11" s="100"/>
      <c r="I11" s="100"/>
      <c r="J11" s="100"/>
      <c r="K11" s="100"/>
      <c r="L11" s="100"/>
      <c r="M11" s="100"/>
      <c r="N11" s="100">
        <v>3000</v>
      </c>
      <c r="O11" s="100">
        <v>10000</v>
      </c>
      <c r="P11" s="100">
        <v>3000</v>
      </c>
      <c r="Q11" s="13">
        <v>0</v>
      </c>
      <c r="R11" s="37">
        <v>3000</v>
      </c>
    </row>
    <row r="12" spans="1:18" x14ac:dyDescent="0.2">
      <c r="A12" s="84" t="s">
        <v>123</v>
      </c>
      <c r="B12" s="35"/>
      <c r="C12" s="144">
        <f>E12-[1]Poland!E12</f>
        <v>-2000</v>
      </c>
      <c r="D12" s="13">
        <f>F12-[1]Poland!F12</f>
        <v>-5000</v>
      </c>
      <c r="E12" s="130">
        <v>0</v>
      </c>
      <c r="F12" s="13"/>
      <c r="G12" s="13"/>
      <c r="H12" s="100"/>
      <c r="I12" s="100"/>
      <c r="J12" s="100"/>
      <c r="K12" s="100"/>
      <c r="L12" s="100"/>
      <c r="M12" s="100"/>
      <c r="N12" s="100"/>
      <c r="O12" s="100">
        <v>0</v>
      </c>
      <c r="P12" s="100">
        <v>0</v>
      </c>
      <c r="Q12" s="13">
        <v>0</v>
      </c>
      <c r="R12" s="37">
        <v>0</v>
      </c>
    </row>
    <row r="13" spans="1:18" x14ac:dyDescent="0.2">
      <c r="A13" s="84" t="s">
        <v>19</v>
      </c>
      <c r="B13" s="35"/>
      <c r="C13" s="144">
        <f>E13-[1]Poland!E13</f>
        <v>0</v>
      </c>
      <c r="D13" s="13">
        <f>F13-[1]Poland!F13</f>
        <v>0</v>
      </c>
      <c r="E13" s="130"/>
      <c r="F13" s="13"/>
      <c r="G13" s="13"/>
      <c r="H13" s="100"/>
      <c r="I13" s="100"/>
      <c r="J13" s="100"/>
      <c r="K13" s="100"/>
      <c r="L13" s="100"/>
      <c r="M13" s="100"/>
      <c r="N13" s="100"/>
      <c r="O13" s="100">
        <v>1000</v>
      </c>
      <c r="P13" s="100">
        <v>1000</v>
      </c>
      <c r="Q13" s="13">
        <v>0</v>
      </c>
      <c r="R13" s="37">
        <v>0</v>
      </c>
    </row>
    <row r="14" spans="1:18" x14ac:dyDescent="0.2">
      <c r="A14" s="84" t="s">
        <v>135</v>
      </c>
      <c r="B14" s="35">
        <f t="shared" si="0"/>
        <v>0.33333333333333331</v>
      </c>
      <c r="C14" s="144">
        <f>E14-[1]Poland!E14</f>
        <v>-20000</v>
      </c>
      <c r="D14" s="13">
        <f>F14-[1]Poland!F14</f>
        <v>-5000</v>
      </c>
      <c r="E14" s="130">
        <v>20000</v>
      </c>
      <c r="F14" s="13">
        <v>15000</v>
      </c>
      <c r="G14" s="13"/>
      <c r="H14" s="100"/>
      <c r="I14" s="100"/>
      <c r="J14" s="100"/>
      <c r="K14" s="100"/>
      <c r="L14" s="100"/>
      <c r="M14" s="100"/>
      <c r="N14" s="100"/>
      <c r="O14" s="100"/>
      <c r="P14" s="100"/>
      <c r="Q14" s="13"/>
      <c r="R14" s="37"/>
    </row>
    <row r="15" spans="1:18" x14ac:dyDescent="0.2">
      <c r="A15" s="84" t="s">
        <v>90</v>
      </c>
      <c r="B15" s="35">
        <f t="shared" si="0"/>
        <v>-0.7857142857142857</v>
      </c>
      <c r="C15" s="144">
        <f>E15-[1]Poland!E15</f>
        <v>-25000</v>
      </c>
      <c r="D15" s="13">
        <f>F15-[1]Poland!F15</f>
        <v>-55000</v>
      </c>
      <c r="E15" s="130">
        <v>15000</v>
      </c>
      <c r="F15" s="13">
        <v>70000</v>
      </c>
      <c r="G15" s="13">
        <v>15000</v>
      </c>
      <c r="H15" s="100">
        <v>25000</v>
      </c>
      <c r="I15" s="100">
        <v>30000</v>
      </c>
      <c r="J15" s="100">
        <v>35000</v>
      </c>
      <c r="K15" s="100">
        <v>40000</v>
      </c>
      <c r="L15" s="100">
        <v>20000</v>
      </c>
      <c r="M15" s="100">
        <v>20000</v>
      </c>
      <c r="N15" s="100">
        <v>5000</v>
      </c>
      <c r="O15" s="100">
        <v>5000</v>
      </c>
      <c r="P15" s="100">
        <v>5000</v>
      </c>
      <c r="Q15" s="13">
        <v>0</v>
      </c>
      <c r="R15" s="37">
        <v>4000</v>
      </c>
    </row>
    <row r="16" spans="1:18" x14ac:dyDescent="0.2">
      <c r="A16" s="84" t="s">
        <v>35</v>
      </c>
      <c r="B16" s="35"/>
      <c r="C16" s="144">
        <f>E16-[1]Poland!E16</f>
        <v>0</v>
      </c>
      <c r="D16" s="13">
        <f>F16-[1]Poland!F16</f>
        <v>0</v>
      </c>
      <c r="E16" s="130"/>
      <c r="F16" s="13"/>
      <c r="G16" s="13"/>
      <c r="H16" s="100"/>
      <c r="I16" s="100"/>
      <c r="J16" s="100"/>
      <c r="K16" s="100"/>
      <c r="L16" s="100"/>
      <c r="M16" s="100"/>
      <c r="N16" s="100"/>
      <c r="O16" s="100">
        <v>0</v>
      </c>
      <c r="P16" s="100">
        <v>0</v>
      </c>
      <c r="Q16" s="13">
        <v>0</v>
      </c>
      <c r="R16" s="37">
        <v>0</v>
      </c>
    </row>
    <row r="17" spans="1:19" ht="13.5" thickBot="1" x14ac:dyDescent="0.25">
      <c r="A17" s="30" t="s">
        <v>59</v>
      </c>
      <c r="B17" s="36">
        <f t="shared" si="0"/>
        <v>-0.8571428571428571</v>
      </c>
      <c r="C17" s="145">
        <f>E17-[1]Poland!E17</f>
        <v>-25000</v>
      </c>
      <c r="D17" s="15">
        <f>F17-[1]Poland!F17</f>
        <v>-30000</v>
      </c>
      <c r="E17" s="131">
        <v>10000</v>
      </c>
      <c r="F17" s="15">
        <v>70000</v>
      </c>
      <c r="G17" s="15">
        <v>2000</v>
      </c>
      <c r="H17" s="15">
        <v>30000</v>
      </c>
      <c r="I17" s="101">
        <v>40000</v>
      </c>
      <c r="J17" s="101">
        <v>20000</v>
      </c>
      <c r="K17" s="101">
        <v>20000</v>
      </c>
      <c r="L17" s="101">
        <v>7000</v>
      </c>
      <c r="M17" s="101">
        <v>5000</v>
      </c>
      <c r="N17" s="101">
        <v>4000</v>
      </c>
      <c r="O17" s="101">
        <v>5000</v>
      </c>
      <c r="P17" s="101">
        <v>3000</v>
      </c>
      <c r="Q17" s="15">
        <v>11000</v>
      </c>
      <c r="R17" s="39">
        <v>3000</v>
      </c>
    </row>
    <row r="18" spans="1:19" ht="13.5" thickBot="1" x14ac:dyDescent="0.25">
      <c r="A18" s="45" t="s">
        <v>23</v>
      </c>
      <c r="B18" s="41">
        <f t="shared" si="0"/>
        <v>-0.59753086419753088</v>
      </c>
      <c r="C18" s="146">
        <f>E18-[1]Poland!E18</f>
        <v>-166000</v>
      </c>
      <c r="D18" s="42">
        <f>F18-[1]Poland!F18</f>
        <v>-260000</v>
      </c>
      <c r="E18" s="123">
        <f>SUM(E2:E17)</f>
        <v>163000</v>
      </c>
      <c r="F18" s="42">
        <f>SUM(F2:F17)</f>
        <v>405000</v>
      </c>
      <c r="G18" s="42">
        <v>177000</v>
      </c>
      <c r="H18" s="42">
        <f>SUM(H2:H17)</f>
        <v>300000</v>
      </c>
      <c r="I18" s="42">
        <f>SUM(I2:I17)</f>
        <v>325000</v>
      </c>
      <c r="J18" s="42">
        <f>SUM(J2:J17)</f>
        <v>250000</v>
      </c>
      <c r="K18" s="42">
        <f>SUM(K2:K17)</f>
        <v>275000</v>
      </c>
      <c r="L18" s="42">
        <f>SUM(L2:L17)</f>
        <v>184000</v>
      </c>
      <c r="M18" s="42">
        <f t="shared" ref="M18:R18" si="1">SUM(M2:M17)</f>
        <v>196000</v>
      </c>
      <c r="N18" s="42">
        <f t="shared" si="1"/>
        <v>55000</v>
      </c>
      <c r="O18" s="42">
        <f t="shared" si="1"/>
        <v>120000</v>
      </c>
      <c r="P18" s="42">
        <f t="shared" si="1"/>
        <v>60000</v>
      </c>
      <c r="Q18" s="42">
        <f t="shared" si="1"/>
        <v>40000</v>
      </c>
      <c r="R18" s="43">
        <f t="shared" si="1"/>
        <v>70000</v>
      </c>
    </row>
    <row r="19" spans="1:19" s="9" customFormat="1" x14ac:dyDescent="0.2">
      <c r="B19" s="44"/>
      <c r="C19" s="44"/>
      <c r="D19" s="44"/>
      <c r="E19" s="44"/>
      <c r="F19" s="44"/>
      <c r="G19" s="44"/>
      <c r="H19" s="44"/>
      <c r="I19" s="12"/>
      <c r="J19" s="12"/>
      <c r="K19" s="12"/>
      <c r="L19" s="12"/>
      <c r="M19" s="12"/>
      <c r="N19" s="12"/>
      <c r="O19" s="12"/>
      <c r="P19" s="12"/>
    </row>
    <row r="20" spans="1:19" s="9" customFormat="1" ht="13.5" thickBot="1" x14ac:dyDescent="0.25">
      <c r="B20" s="44"/>
      <c r="C20" s="44"/>
      <c r="D20" s="44"/>
      <c r="E20" s="44"/>
      <c r="F20" s="44"/>
      <c r="G20" s="44"/>
      <c r="H20" s="44"/>
      <c r="I20" s="12"/>
      <c r="J20" s="12"/>
      <c r="K20" s="12"/>
      <c r="L20" s="12"/>
      <c r="M20" s="12"/>
      <c r="N20" s="12"/>
      <c r="O20" s="12"/>
      <c r="P20" s="12"/>
    </row>
    <row r="21" spans="1:19" s="16" customFormat="1" ht="13.5" thickBot="1" x14ac:dyDescent="0.25">
      <c r="A21" s="31" t="s">
        <v>25</v>
      </c>
      <c r="B21" s="32" t="s">
        <v>176</v>
      </c>
      <c r="C21" s="62" t="s">
        <v>177</v>
      </c>
      <c r="D21" s="99" t="s">
        <v>174</v>
      </c>
      <c r="E21" s="129">
        <v>43952</v>
      </c>
      <c r="F21" s="137">
        <v>43586</v>
      </c>
      <c r="G21" s="137">
        <v>43221</v>
      </c>
      <c r="H21" s="33">
        <v>42856</v>
      </c>
      <c r="I21" s="33">
        <v>42491</v>
      </c>
      <c r="J21" s="33">
        <v>42125</v>
      </c>
      <c r="K21" s="33">
        <v>41760</v>
      </c>
      <c r="L21" s="33">
        <v>41395</v>
      </c>
      <c r="M21" s="33">
        <v>41030</v>
      </c>
      <c r="N21" s="33">
        <v>40664</v>
      </c>
      <c r="O21" s="33">
        <v>40299</v>
      </c>
      <c r="P21" s="33">
        <v>39934</v>
      </c>
      <c r="Q21" s="33">
        <v>39569</v>
      </c>
      <c r="R21" s="34">
        <v>39203</v>
      </c>
    </row>
    <row r="22" spans="1:19" x14ac:dyDescent="0.2">
      <c r="A22" s="27" t="s">
        <v>7</v>
      </c>
      <c r="B22" s="35"/>
      <c r="C22" s="144">
        <f>E22-[1]Poland!E22</f>
        <v>0</v>
      </c>
      <c r="D22" s="13">
        <f>F22-[1]Poland!F22</f>
        <v>0</v>
      </c>
      <c r="E22" s="130">
        <v>0</v>
      </c>
      <c r="F22" s="13"/>
      <c r="G22" s="13">
        <v>0</v>
      </c>
      <c r="H22" s="13">
        <v>0</v>
      </c>
      <c r="I22" s="13">
        <v>0</v>
      </c>
      <c r="J22" s="13">
        <v>0</v>
      </c>
      <c r="K22" s="13">
        <v>1000</v>
      </c>
      <c r="L22" s="13"/>
      <c r="M22" s="13"/>
      <c r="N22" s="13"/>
      <c r="O22" s="13">
        <v>1000</v>
      </c>
      <c r="P22" s="13">
        <v>0</v>
      </c>
      <c r="Q22" s="13">
        <v>0</v>
      </c>
      <c r="R22" s="37">
        <v>500</v>
      </c>
    </row>
    <row r="23" spans="1:19" x14ac:dyDescent="0.2">
      <c r="A23" s="53" t="s">
        <v>94</v>
      </c>
      <c r="B23" s="35"/>
      <c r="C23" s="144">
        <f>E23-[1]Poland!E23</f>
        <v>0</v>
      </c>
      <c r="D23" s="13">
        <f>F23-[1]Poland!F23</f>
        <v>0</v>
      </c>
      <c r="E23" s="130">
        <v>0</v>
      </c>
      <c r="F23" s="13"/>
      <c r="G23" s="13">
        <v>0</v>
      </c>
      <c r="H23" s="13">
        <v>0</v>
      </c>
      <c r="I23" s="13"/>
      <c r="J23" s="13"/>
      <c r="K23" s="13"/>
      <c r="L23" s="13"/>
      <c r="M23" s="13"/>
      <c r="N23" s="13"/>
      <c r="O23" s="13">
        <v>0</v>
      </c>
      <c r="P23" s="13">
        <v>0</v>
      </c>
      <c r="Q23" s="13">
        <v>0</v>
      </c>
      <c r="R23" s="37">
        <v>0</v>
      </c>
    </row>
    <row r="24" spans="1:19" ht="13.5" thickBot="1" x14ac:dyDescent="0.25">
      <c r="A24" s="38" t="s">
        <v>59</v>
      </c>
      <c r="B24" s="36"/>
      <c r="C24" s="145">
        <f>E24-[1]Poland!E24</f>
        <v>0</v>
      </c>
      <c r="D24" s="15">
        <f>F24-[1]Poland!F24</f>
        <v>0</v>
      </c>
      <c r="E24" s="131">
        <v>0</v>
      </c>
      <c r="F24" s="15"/>
      <c r="G24" s="15">
        <v>0</v>
      </c>
      <c r="H24" s="15">
        <v>0</v>
      </c>
      <c r="I24" s="15"/>
      <c r="J24" s="15"/>
      <c r="K24" s="15"/>
      <c r="L24" s="15"/>
      <c r="M24" s="15"/>
      <c r="N24" s="15"/>
      <c r="O24" s="15">
        <v>0</v>
      </c>
      <c r="P24" s="15">
        <v>0</v>
      </c>
      <c r="Q24" s="15">
        <v>0</v>
      </c>
      <c r="R24" s="39">
        <v>0</v>
      </c>
    </row>
    <row r="25" spans="1:19" ht="13.5" thickBot="1" x14ac:dyDescent="0.25">
      <c r="A25" s="40" t="s">
        <v>23</v>
      </c>
      <c r="B25" s="41"/>
      <c r="C25" s="146">
        <f>E25-[1]Poland!E25</f>
        <v>0</v>
      </c>
      <c r="D25" s="42">
        <f>F25-[1]Poland!F25</f>
        <v>0</v>
      </c>
      <c r="E25" s="123">
        <f>SUM(E22:E24)</f>
        <v>0</v>
      </c>
      <c r="F25" s="42">
        <v>0</v>
      </c>
      <c r="G25" s="42">
        <v>0</v>
      </c>
      <c r="H25" s="42">
        <f>SUM(H22:H24)</f>
        <v>0</v>
      </c>
      <c r="I25" s="42">
        <v>0</v>
      </c>
      <c r="J25" s="42">
        <f>SUM(J22:J24)</f>
        <v>0</v>
      </c>
      <c r="K25" s="42">
        <f>SUM(K22:K24)</f>
        <v>1000</v>
      </c>
      <c r="L25" s="42">
        <v>0</v>
      </c>
      <c r="M25" s="42">
        <v>0</v>
      </c>
      <c r="N25" s="42">
        <v>0</v>
      </c>
      <c r="O25" s="42">
        <f>SUM(O22:O24)</f>
        <v>1000</v>
      </c>
      <c r="P25" s="42">
        <f>SUM(P22:P24)</f>
        <v>0</v>
      </c>
      <c r="Q25" s="42">
        <f>SUM(Q22:Q24)</f>
        <v>0</v>
      </c>
      <c r="R25" s="43">
        <f>SUM(R22:R24)</f>
        <v>500</v>
      </c>
    </row>
    <row r="27" spans="1:19" x14ac:dyDescent="0.2">
      <c r="A27" s="139" t="s">
        <v>172</v>
      </c>
    </row>
    <row r="32" spans="1:19" ht="18" x14ac:dyDescent="0.25">
      <c r="Q32" s="5"/>
      <c r="R32" s="1"/>
      <c r="S32" s="1"/>
    </row>
    <row r="33" spans="17:19" ht="18" x14ac:dyDescent="0.25">
      <c r="Q33" s="5"/>
      <c r="R33" s="1"/>
      <c r="S33" s="1"/>
    </row>
    <row r="34" spans="17:19" ht="18" x14ac:dyDescent="0.25">
      <c r="Q34" s="5"/>
      <c r="R34" s="1"/>
      <c r="S34" s="1"/>
    </row>
    <row r="35" spans="17:19" ht="18" x14ac:dyDescent="0.25">
      <c r="Q35" s="5"/>
      <c r="R35" s="1"/>
      <c r="S35" s="1"/>
    </row>
    <row r="36" spans="17:19" ht="18" x14ac:dyDescent="0.25">
      <c r="Q36" s="5"/>
      <c r="R36" s="1"/>
      <c r="S36" s="1"/>
    </row>
    <row r="37" spans="17:19" ht="18" x14ac:dyDescent="0.25">
      <c r="Q37" s="5"/>
      <c r="R37" s="1"/>
      <c r="S37" s="1"/>
    </row>
    <row r="38" spans="17:19" ht="18" x14ac:dyDescent="0.25">
      <c r="Q38" s="5"/>
      <c r="R38" s="1"/>
      <c r="S38" s="1"/>
    </row>
    <row r="39" spans="17:19" ht="18" x14ac:dyDescent="0.25">
      <c r="Q39" s="5"/>
      <c r="R39" s="1"/>
      <c r="S39" s="1"/>
    </row>
    <row r="40" spans="17:19" ht="18" x14ac:dyDescent="0.25">
      <c r="Q40" s="5"/>
      <c r="R40" s="1"/>
      <c r="S40" s="1"/>
    </row>
    <row r="41" spans="17:19" ht="18" x14ac:dyDescent="0.25">
      <c r="Q41" s="5"/>
      <c r="R41" s="1"/>
      <c r="S41" s="1"/>
    </row>
    <row r="42" spans="17:19" ht="18" x14ac:dyDescent="0.25">
      <c r="Q42" s="6"/>
      <c r="R42" s="1"/>
      <c r="S42" s="1"/>
    </row>
    <row r="43" spans="17:19" ht="18.75" x14ac:dyDescent="0.3">
      <c r="Q43" s="7"/>
      <c r="R43" s="2"/>
      <c r="S43" s="2"/>
    </row>
  </sheetData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D13" sqref="D13"/>
    </sheetView>
  </sheetViews>
  <sheetFormatPr defaultColWidth="9.28515625" defaultRowHeight="12.75" x14ac:dyDescent="0.2"/>
  <cols>
    <col min="1" max="1" width="26" customWidth="1"/>
    <col min="2" max="2" width="11" bestFit="1" customWidth="1"/>
    <col min="3" max="3" width="11.5703125" bestFit="1" customWidth="1"/>
    <col min="4" max="4" width="11.5703125" style="9" bestFit="1" customWidth="1"/>
    <col min="5" max="6" width="11.5703125" style="9" customWidth="1"/>
    <col min="7" max="7" width="11.5703125" customWidth="1"/>
    <col min="8" max="8" width="10.42578125" style="9" customWidth="1"/>
    <col min="9" max="16" width="10.28515625" customWidth="1"/>
  </cols>
  <sheetData>
    <row r="1" spans="1:16" ht="13.5" thickBot="1" x14ac:dyDescent="0.25">
      <c r="A1" s="52" t="s">
        <v>92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49">
        <v>39934</v>
      </c>
    </row>
    <row r="2" spans="1:16" x14ac:dyDescent="0.2">
      <c r="A2" s="53" t="s">
        <v>9</v>
      </c>
      <c r="B2" s="60"/>
      <c r="C2" s="147"/>
      <c r="D2" s="86"/>
      <c r="E2" s="56"/>
      <c r="F2" s="86"/>
      <c r="G2" s="86"/>
      <c r="H2" s="86"/>
      <c r="I2" s="86"/>
      <c r="J2" s="86"/>
      <c r="K2" s="86"/>
      <c r="L2" s="86"/>
      <c r="M2" s="86"/>
      <c r="N2" s="86"/>
      <c r="O2" s="86"/>
      <c r="P2" s="88"/>
    </row>
    <row r="3" spans="1:16" x14ac:dyDescent="0.2">
      <c r="A3" s="53" t="s">
        <v>150</v>
      </c>
      <c r="B3" s="60"/>
      <c r="C3" s="147"/>
      <c r="D3" s="86"/>
      <c r="E3" s="56"/>
      <c r="F3" s="86"/>
      <c r="G3" s="86"/>
      <c r="H3" s="86"/>
      <c r="I3" s="86"/>
      <c r="J3" s="86"/>
      <c r="K3" s="86"/>
      <c r="L3" s="86"/>
      <c r="M3" s="86"/>
      <c r="N3" s="86"/>
      <c r="O3" s="86"/>
      <c r="P3" s="88"/>
    </row>
    <row r="4" spans="1:16" x14ac:dyDescent="0.2">
      <c r="A4" s="53" t="s">
        <v>27</v>
      </c>
      <c r="B4" s="60"/>
      <c r="C4" s="147"/>
      <c r="D4" s="86"/>
      <c r="E4" s="56"/>
      <c r="F4" s="86"/>
      <c r="G4" s="86"/>
      <c r="H4" s="86"/>
      <c r="I4" s="86"/>
      <c r="J4" s="86"/>
      <c r="K4" s="86"/>
      <c r="L4" s="86"/>
      <c r="M4" s="86"/>
      <c r="N4" s="86"/>
      <c r="O4" s="86"/>
      <c r="P4" s="88"/>
    </row>
    <row r="5" spans="1:16" x14ac:dyDescent="0.2">
      <c r="A5" s="53" t="s">
        <v>26</v>
      </c>
      <c r="B5" s="60"/>
      <c r="C5" s="147"/>
      <c r="D5" s="86"/>
      <c r="E5" s="56"/>
      <c r="F5" s="86"/>
      <c r="G5" s="86"/>
      <c r="H5" s="86"/>
      <c r="I5" s="86"/>
      <c r="J5" s="86"/>
      <c r="K5" s="86"/>
      <c r="L5" s="86"/>
      <c r="M5" s="86"/>
      <c r="N5" s="86"/>
      <c r="O5" s="86"/>
      <c r="P5" s="88"/>
    </row>
    <row r="6" spans="1:16" x14ac:dyDescent="0.2">
      <c r="A6" s="53" t="s">
        <v>19</v>
      </c>
      <c r="B6" s="60"/>
      <c r="C6" s="147"/>
      <c r="D6" s="86"/>
      <c r="E6" s="56"/>
      <c r="F6" s="86"/>
      <c r="G6" s="86"/>
      <c r="H6" s="86"/>
      <c r="I6" s="86"/>
      <c r="J6" s="86"/>
      <c r="K6" s="86"/>
      <c r="L6" s="86"/>
      <c r="M6" s="86"/>
      <c r="N6" s="86"/>
      <c r="O6" s="86"/>
      <c r="P6" s="88"/>
    </row>
    <row r="7" spans="1:16" x14ac:dyDescent="0.2">
      <c r="A7" s="53" t="s">
        <v>89</v>
      </c>
      <c r="B7" s="60"/>
      <c r="C7" s="147"/>
      <c r="D7" s="86"/>
      <c r="E7" s="56"/>
      <c r="F7" s="86"/>
      <c r="G7" s="86"/>
      <c r="H7" s="86"/>
      <c r="I7" s="86"/>
      <c r="J7" s="86"/>
      <c r="K7" s="86"/>
      <c r="L7" s="86"/>
      <c r="M7" s="86"/>
      <c r="N7" s="86"/>
      <c r="O7" s="86"/>
      <c r="P7" s="88"/>
    </row>
    <row r="8" spans="1:16" ht="13.5" thickBot="1" x14ac:dyDescent="0.25">
      <c r="A8" s="54" t="s">
        <v>6</v>
      </c>
      <c r="B8" s="61"/>
      <c r="C8" s="148"/>
      <c r="D8" s="86"/>
      <c r="E8" s="56"/>
      <c r="F8" s="86"/>
      <c r="G8" s="86"/>
      <c r="H8" s="87"/>
      <c r="I8" s="86"/>
      <c r="J8" s="86"/>
      <c r="K8" s="86"/>
      <c r="L8" s="86"/>
      <c r="M8" s="86"/>
      <c r="N8" s="86"/>
      <c r="O8" s="86"/>
      <c r="P8" s="88"/>
    </row>
    <row r="9" spans="1:16" ht="13.5" thickBot="1" x14ac:dyDescent="0.25">
      <c r="A9" s="55" t="s">
        <v>93</v>
      </c>
      <c r="B9" s="97"/>
      <c r="C9" s="149"/>
      <c r="D9" s="110"/>
      <c r="E9" s="58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5"/>
    </row>
    <row r="10" spans="1:16" x14ac:dyDescent="0.2">
      <c r="G10" s="9"/>
      <c r="I10" s="9"/>
      <c r="J10" s="9"/>
      <c r="K10" s="9"/>
      <c r="L10" s="9"/>
      <c r="M10" s="9"/>
      <c r="N10" s="9"/>
      <c r="O10" s="9"/>
      <c r="P10" s="9"/>
    </row>
    <row r="11" spans="1:16" ht="13.5" thickBot="1" x14ac:dyDescent="0.25">
      <c r="B11" s="3"/>
      <c r="C11" s="3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</row>
    <row r="12" spans="1:16" ht="13.5" thickBot="1" x14ac:dyDescent="0.25">
      <c r="A12" s="64" t="s">
        <v>92</v>
      </c>
      <c r="B12" s="32" t="s">
        <v>176</v>
      </c>
      <c r="C12" s="62" t="s">
        <v>177</v>
      </c>
      <c r="D12" s="99" t="s">
        <v>174</v>
      </c>
      <c r="E12" s="129">
        <v>43952</v>
      </c>
      <c r="F12" s="137">
        <v>43586</v>
      </c>
      <c r="G12" s="137">
        <v>43221</v>
      </c>
      <c r="H12" s="33">
        <v>42856</v>
      </c>
      <c r="I12" s="33">
        <v>42491</v>
      </c>
      <c r="J12" s="33">
        <v>42125</v>
      </c>
      <c r="K12" s="33">
        <v>41760</v>
      </c>
      <c r="L12" s="33">
        <v>41395</v>
      </c>
      <c r="M12" s="33">
        <v>41030</v>
      </c>
      <c r="N12" s="33">
        <v>40664</v>
      </c>
      <c r="O12" s="33">
        <v>40299</v>
      </c>
      <c r="P12" s="49">
        <v>39934</v>
      </c>
    </row>
    <row r="13" spans="1:16" ht="13.5" thickBot="1" x14ac:dyDescent="0.25">
      <c r="A13" s="66" t="s">
        <v>152</v>
      </c>
      <c r="B13" s="67">
        <f>(E13-F13)/F13</f>
        <v>-5.3309256496820286E-2</v>
      </c>
      <c r="C13" s="149">
        <f>E13-[2]Portugal!E13</f>
        <v>-34817</v>
      </c>
      <c r="D13" s="91">
        <f>F13-[2]Portugal!F13</f>
        <v>-28598</v>
      </c>
      <c r="E13" s="68">
        <v>12058</v>
      </c>
      <c r="F13" s="91">
        <v>12737</v>
      </c>
      <c r="G13" s="91">
        <v>5745</v>
      </c>
      <c r="H13" s="91">
        <v>4397</v>
      </c>
      <c r="I13" s="91">
        <v>2891</v>
      </c>
      <c r="J13" s="91">
        <v>6678.5714285714284</v>
      </c>
      <c r="K13" s="91">
        <v>26042.682926829268</v>
      </c>
      <c r="L13" s="91">
        <v>0</v>
      </c>
      <c r="M13" s="91">
        <v>0</v>
      </c>
      <c r="N13" s="91">
        <v>0</v>
      </c>
      <c r="O13" s="91"/>
      <c r="P13" s="93"/>
    </row>
    <row r="14" spans="1:16" ht="13.5" thickBot="1" x14ac:dyDescent="0.25">
      <c r="A14" s="64" t="s">
        <v>93</v>
      </c>
      <c r="B14" s="75">
        <f>(E14-F14)/F14</f>
        <v>-5.3309256496820286E-2</v>
      </c>
      <c r="C14" s="155">
        <f>E14-[2]Portugal!E14</f>
        <v>-34817</v>
      </c>
      <c r="D14" s="104">
        <f>F14-[2]Portugal!F14</f>
        <v>-28598</v>
      </c>
      <c r="E14" s="76">
        <f>SUM(E13)</f>
        <v>12058</v>
      </c>
      <c r="F14" s="104">
        <f>SUM(F13)</f>
        <v>12737</v>
      </c>
      <c r="G14" s="104">
        <f>SUM(G13)</f>
        <v>5745</v>
      </c>
      <c r="H14" s="104">
        <f>SUM(H13)</f>
        <v>4397</v>
      </c>
      <c r="I14" s="104">
        <f t="shared" ref="I14:N14" si="0">SUM(I13)</f>
        <v>2891</v>
      </c>
      <c r="J14" s="104">
        <f t="shared" si="0"/>
        <v>6678.5714285714284</v>
      </c>
      <c r="K14" s="104">
        <f t="shared" si="0"/>
        <v>26042.682926829268</v>
      </c>
      <c r="L14" s="104">
        <f t="shared" si="0"/>
        <v>0</v>
      </c>
      <c r="M14" s="104">
        <f t="shared" si="0"/>
        <v>0</v>
      </c>
      <c r="N14" s="104">
        <f t="shared" si="0"/>
        <v>0</v>
      </c>
      <c r="O14" s="104"/>
      <c r="P14" s="120"/>
    </row>
    <row r="15" spans="1:16" x14ac:dyDescent="0.2">
      <c r="A15" s="3" t="s">
        <v>179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="78" zoomScaleNormal="78" workbookViewId="0">
      <selection activeCell="C14" sqref="C14"/>
    </sheetView>
  </sheetViews>
  <sheetFormatPr defaultColWidth="9.28515625" defaultRowHeight="12.75" x14ac:dyDescent="0.2"/>
  <cols>
    <col min="1" max="1" width="29.28515625" customWidth="1"/>
    <col min="2" max="2" width="10.7109375" customWidth="1"/>
    <col min="3" max="3" width="11.5703125" bestFit="1" customWidth="1"/>
    <col min="4" max="6" width="11.42578125" style="9" customWidth="1"/>
    <col min="7" max="7" width="11.7109375" style="9" customWidth="1"/>
    <col min="8" max="8" width="10.28515625" style="9" bestFit="1" customWidth="1"/>
    <col min="9" max="16" width="10.28515625" style="12" bestFit="1" customWidth="1"/>
    <col min="17" max="18" width="10.28515625" bestFit="1" customWidth="1"/>
  </cols>
  <sheetData>
    <row r="1" spans="1:22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22" x14ac:dyDescent="0.2">
      <c r="A2" s="27" t="s">
        <v>109</v>
      </c>
      <c r="B2" s="35">
        <f t="shared" ref="B2:B8" si="0">(E2-F2)/F2</f>
        <v>-0.25246459684176714</v>
      </c>
      <c r="C2" s="144">
        <f>E2-[1]Spain!E2</f>
        <v>-4843.5302210090376</v>
      </c>
      <c r="D2" s="13">
        <f>F2-[1]Spain!F2</f>
        <v>-3277.5000126976156</v>
      </c>
      <c r="E2" s="130">
        <v>7779.9746988773913</v>
      </c>
      <c r="F2" s="13">
        <v>10407.499987302384</v>
      </c>
      <c r="G2" s="13">
        <v>4306</v>
      </c>
      <c r="H2" s="13">
        <v>9766.3879970853377</v>
      </c>
      <c r="I2" s="13">
        <v>6285.8653399490204</v>
      </c>
      <c r="J2" s="13">
        <v>3800.4610216728242</v>
      </c>
      <c r="K2" s="13">
        <v>5791.2975018842699</v>
      </c>
      <c r="L2" s="13">
        <v>1047.6551218719571</v>
      </c>
      <c r="M2" s="13">
        <v>3235</v>
      </c>
      <c r="N2" s="13">
        <v>1944.753939274229</v>
      </c>
      <c r="O2" s="13">
        <v>1774</v>
      </c>
      <c r="P2" s="13">
        <v>2538</v>
      </c>
      <c r="Q2" s="13">
        <v>2835</v>
      </c>
      <c r="R2" s="37">
        <v>928</v>
      </c>
    </row>
    <row r="3" spans="1:22" x14ac:dyDescent="0.2">
      <c r="A3" s="27" t="s">
        <v>110</v>
      </c>
      <c r="B3" s="35">
        <f t="shared" si="0"/>
        <v>-0.27831530537296539</v>
      </c>
      <c r="C3" s="144">
        <f>E3-[1]Spain!E3</f>
        <v>-391.39729566563972</v>
      </c>
      <c r="D3" s="13">
        <f>F3-[1]Spain!F3</f>
        <v>-1698</v>
      </c>
      <c r="E3" s="130">
        <v>135.6767225898825</v>
      </c>
      <c r="F3" s="13">
        <v>188</v>
      </c>
      <c r="G3" s="13">
        <v>17</v>
      </c>
      <c r="H3" s="13">
        <v>413</v>
      </c>
      <c r="I3" s="13">
        <v>117.1608557486843</v>
      </c>
      <c r="J3" s="13">
        <v>380.62328178047278</v>
      </c>
      <c r="K3" s="13">
        <v>2.6260607436131207</v>
      </c>
      <c r="L3" s="13">
        <v>0</v>
      </c>
      <c r="M3" s="13">
        <v>16.468467897688623</v>
      </c>
      <c r="N3" s="13">
        <v>257.93980568868142</v>
      </c>
      <c r="O3" s="13">
        <v>132</v>
      </c>
      <c r="P3" s="13">
        <v>285</v>
      </c>
      <c r="Q3" s="13">
        <v>135</v>
      </c>
      <c r="R3" s="37">
        <v>179</v>
      </c>
    </row>
    <row r="4" spans="1:22" x14ac:dyDescent="0.2">
      <c r="A4" s="27" t="s">
        <v>111</v>
      </c>
      <c r="B4" s="35">
        <f t="shared" si="0"/>
        <v>0.35866686819032761</v>
      </c>
      <c r="C4" s="144">
        <f>E4-[1]Spain!E4</f>
        <v>-27794.113153876286</v>
      </c>
      <c r="D4" s="13">
        <f>F4-[1]Spain!F4</f>
        <v>-17528.779575325047</v>
      </c>
      <c r="E4" s="130">
        <v>70017.837869023133</v>
      </c>
      <c r="F4" s="13">
        <v>51534.220424674953</v>
      </c>
      <c r="G4" s="13">
        <v>39101</v>
      </c>
      <c r="H4" s="13">
        <v>70640</v>
      </c>
      <c r="I4" s="13">
        <v>41242.843465537386</v>
      </c>
      <c r="J4" s="13">
        <v>57315.844754252859</v>
      </c>
      <c r="K4" s="13">
        <v>50736.037590910724</v>
      </c>
      <c r="L4" s="13">
        <v>27690.515783730974</v>
      </c>
      <c r="M4" s="13">
        <v>57676.849674617653</v>
      </c>
      <c r="N4" s="13">
        <v>45942.055357280413</v>
      </c>
      <c r="O4" s="13">
        <v>39784</v>
      </c>
      <c r="P4" s="13">
        <v>62391</v>
      </c>
      <c r="Q4" s="13">
        <v>39485</v>
      </c>
      <c r="R4" s="37">
        <v>35405</v>
      </c>
    </row>
    <row r="5" spans="1:22" x14ac:dyDescent="0.2">
      <c r="A5" s="27" t="s">
        <v>17</v>
      </c>
      <c r="B5" s="35">
        <f t="shared" si="0"/>
        <v>0.1171055020026924</v>
      </c>
      <c r="C5" s="144">
        <f>E5-[1]Spain!E5</f>
        <v>-3069.9597999038851</v>
      </c>
      <c r="D5" s="13">
        <f>F5-[1]Spain!F5</f>
        <v>-2873.9239389891445</v>
      </c>
      <c r="E5" s="130">
        <v>9666.3988770030119</v>
      </c>
      <c r="F5" s="13">
        <v>8653.0760610108555</v>
      </c>
      <c r="G5" s="13">
        <v>7000</v>
      </c>
      <c r="H5" s="13">
        <v>6661</v>
      </c>
      <c r="I5" s="13">
        <v>6806.226610468223</v>
      </c>
      <c r="J5" s="13">
        <v>4280.4849769467655</v>
      </c>
      <c r="K5" s="13">
        <v>3317.0717708889242</v>
      </c>
      <c r="L5" s="13">
        <v>2159.9727070975114</v>
      </c>
      <c r="M5" s="13">
        <v>2915.3514804445654</v>
      </c>
      <c r="N5" s="13">
        <v>324.84393741035819</v>
      </c>
      <c r="O5" s="13">
        <v>2014</v>
      </c>
      <c r="P5" s="13">
        <v>1871</v>
      </c>
      <c r="Q5" s="13">
        <v>475</v>
      </c>
      <c r="R5" s="37">
        <v>101</v>
      </c>
      <c r="U5" s="13"/>
      <c r="V5" s="46"/>
    </row>
    <row r="6" spans="1:22" x14ac:dyDescent="0.2">
      <c r="A6" s="29" t="s">
        <v>19</v>
      </c>
      <c r="B6" s="35">
        <f t="shared" si="0"/>
        <v>0.23189944178734714</v>
      </c>
      <c r="C6" s="144">
        <f>E6-[1]Spain!E6</f>
        <v>-2879.9080734635609</v>
      </c>
      <c r="D6" s="13">
        <f>F6-[1]Spain!F6</f>
        <v>-2525.9327398256701</v>
      </c>
      <c r="E6" s="130">
        <v>8912.8753191026681</v>
      </c>
      <c r="F6" s="13">
        <v>7235.0672601743299</v>
      </c>
      <c r="G6" s="13">
        <v>4039</v>
      </c>
      <c r="H6" s="100">
        <v>4458</v>
      </c>
      <c r="I6" s="100">
        <v>5423.0965681677535</v>
      </c>
      <c r="J6" s="100">
        <v>3665.054133612075</v>
      </c>
      <c r="K6" s="100">
        <v>925.8626144643797</v>
      </c>
      <c r="L6" s="100">
        <v>1094.6283477818083</v>
      </c>
      <c r="M6" s="100">
        <v>1295.0763009642578</v>
      </c>
      <c r="N6" s="100">
        <v>486.22067952895304</v>
      </c>
      <c r="O6" s="100">
        <v>1918</v>
      </c>
      <c r="P6" s="100">
        <v>4887</v>
      </c>
      <c r="Q6" s="13">
        <v>2220</v>
      </c>
      <c r="R6" s="37">
        <v>2095</v>
      </c>
      <c r="U6" s="13"/>
      <c r="V6" s="46"/>
    </row>
    <row r="7" spans="1:22" ht="13.5" thickBot="1" x14ac:dyDescent="0.25">
      <c r="A7" s="30" t="s">
        <v>59</v>
      </c>
      <c r="B7" s="36">
        <f t="shared" si="0"/>
        <v>1.1147302792084575</v>
      </c>
      <c r="C7" s="145">
        <f>E7-[1]Spain!E7</f>
        <v>-3977.1499999999996</v>
      </c>
      <c r="D7" s="15">
        <f>F7-[1]Spain!F7</f>
        <v>-2003</v>
      </c>
      <c r="E7" s="131">
        <v>7801.24</v>
      </c>
      <c r="F7" s="15">
        <v>3689</v>
      </c>
      <c r="G7" s="15">
        <v>2825</v>
      </c>
      <c r="H7" s="101">
        <v>3354</v>
      </c>
      <c r="I7" s="101">
        <v>2361</v>
      </c>
      <c r="J7" s="101">
        <v>2276.9549999999999</v>
      </c>
      <c r="K7" s="101">
        <v>2359.8000000000002</v>
      </c>
      <c r="L7" s="101">
        <v>1313</v>
      </c>
      <c r="M7" s="101">
        <v>2614</v>
      </c>
      <c r="N7" s="101">
        <v>595.5</v>
      </c>
      <c r="O7" s="101">
        <v>538</v>
      </c>
      <c r="P7" s="101">
        <v>1749</v>
      </c>
      <c r="Q7" s="15">
        <v>712</v>
      </c>
      <c r="R7" s="39">
        <v>1427</v>
      </c>
      <c r="U7" s="13"/>
      <c r="V7" s="46"/>
    </row>
    <row r="8" spans="1:22" ht="13.5" thickBot="1" x14ac:dyDescent="0.25">
      <c r="A8" s="45" t="s">
        <v>23</v>
      </c>
      <c r="B8" s="41">
        <f t="shared" si="0"/>
        <v>0.27668593213005638</v>
      </c>
      <c r="C8" s="155">
        <f>E8-[1]Spain!E8</f>
        <v>-42956.058543918378</v>
      </c>
      <c r="D8" s="42">
        <f>F8-[1]Spain!F8</f>
        <v>-29907.136266837479</v>
      </c>
      <c r="E8" s="123">
        <f>SUM(E2:E7)</f>
        <v>104314.00348659609</v>
      </c>
      <c r="F8" s="42">
        <f>SUM(F2:F7)</f>
        <v>81706.863733162521</v>
      </c>
      <c r="G8" s="42">
        <f t="shared" ref="G8:L8" si="1">SUM(G2:G7)</f>
        <v>57288</v>
      </c>
      <c r="H8" s="42">
        <f t="shared" si="1"/>
        <v>95292.387997085345</v>
      </c>
      <c r="I8" s="42">
        <f t="shared" si="1"/>
        <v>62236.192839871066</v>
      </c>
      <c r="J8" s="42">
        <f t="shared" si="1"/>
        <v>71719.423168264999</v>
      </c>
      <c r="K8" s="42">
        <f t="shared" si="1"/>
        <v>63132.695538891916</v>
      </c>
      <c r="L8" s="42">
        <f t="shared" si="1"/>
        <v>33305.771960482249</v>
      </c>
      <c r="M8" s="42">
        <f t="shared" ref="M8:R8" si="2">SUM(M2:M7)</f>
        <v>67752.745923924173</v>
      </c>
      <c r="N8" s="42">
        <f t="shared" si="2"/>
        <v>49551.313719182639</v>
      </c>
      <c r="O8" s="42">
        <f t="shared" si="2"/>
        <v>46160</v>
      </c>
      <c r="P8" s="42">
        <f t="shared" si="2"/>
        <v>73721</v>
      </c>
      <c r="Q8" s="42">
        <f t="shared" si="2"/>
        <v>45862</v>
      </c>
      <c r="R8" s="43">
        <f t="shared" si="2"/>
        <v>40135</v>
      </c>
      <c r="U8" s="13"/>
      <c r="V8" s="46"/>
    </row>
    <row r="9" spans="1:22" s="9" customFormat="1" x14ac:dyDescent="0.2">
      <c r="B9" s="44"/>
      <c r="C9" s="44"/>
      <c r="D9" s="44"/>
      <c r="E9" s="44"/>
      <c r="F9" s="44"/>
      <c r="G9" s="44"/>
      <c r="H9" s="12"/>
      <c r="I9" s="12"/>
      <c r="J9" s="12"/>
      <c r="K9" s="12"/>
      <c r="L9" s="12"/>
      <c r="M9" s="12"/>
      <c r="N9" s="12"/>
      <c r="O9" s="12"/>
      <c r="P9" s="12"/>
      <c r="U9" s="13"/>
      <c r="V9" s="46"/>
    </row>
    <row r="10" spans="1:22" s="9" customFormat="1" ht="13.5" thickBot="1" x14ac:dyDescent="0.25">
      <c r="B10" s="44"/>
      <c r="C10" s="44"/>
      <c r="D10" s="44"/>
      <c r="E10" s="44"/>
      <c r="F10" s="44"/>
      <c r="G10" s="44"/>
      <c r="H10" s="12"/>
      <c r="I10" s="12"/>
      <c r="J10" s="12"/>
      <c r="K10" s="12"/>
      <c r="L10" s="12"/>
      <c r="M10" s="12"/>
      <c r="N10" s="12"/>
      <c r="O10" s="12"/>
      <c r="P10" s="12"/>
      <c r="U10" s="12"/>
      <c r="V10" s="12"/>
    </row>
    <row r="11" spans="1:22" s="16" customFormat="1" ht="13.5" thickBot="1" x14ac:dyDescent="0.25">
      <c r="A11" s="31" t="s">
        <v>25</v>
      </c>
      <c r="B11" s="32" t="s">
        <v>176</v>
      </c>
      <c r="C11" s="62" t="s">
        <v>177</v>
      </c>
      <c r="D11" s="99" t="s">
        <v>174</v>
      </c>
      <c r="E11" s="129">
        <v>43952</v>
      </c>
      <c r="F11" s="137">
        <v>43586</v>
      </c>
      <c r="G11" s="137">
        <v>43221</v>
      </c>
      <c r="H11" s="33">
        <v>42856</v>
      </c>
      <c r="I11" s="33">
        <v>42491</v>
      </c>
      <c r="J11" s="33">
        <v>42125</v>
      </c>
      <c r="K11" s="33">
        <v>41760</v>
      </c>
      <c r="L11" s="33">
        <v>41395</v>
      </c>
      <c r="M11" s="33">
        <v>41030</v>
      </c>
      <c r="N11" s="33">
        <v>40664</v>
      </c>
      <c r="O11" s="33">
        <v>40299</v>
      </c>
      <c r="P11" s="33">
        <v>39934</v>
      </c>
      <c r="Q11" s="33">
        <v>39569</v>
      </c>
      <c r="R11" s="34">
        <v>39203</v>
      </c>
    </row>
    <row r="12" spans="1:22" x14ac:dyDescent="0.2">
      <c r="A12" s="27" t="s">
        <v>38</v>
      </c>
      <c r="B12" s="35">
        <f t="shared" ref="B12:B17" si="3">(E12-F12)/F12</f>
        <v>0.32612882236588497</v>
      </c>
      <c r="C12" s="144">
        <f>E12-[1]Spain!E12</f>
        <v>-482.835046628925</v>
      </c>
      <c r="D12" s="13">
        <f>F12-[1]Spain!F12</f>
        <v>-324.25742180071268</v>
      </c>
      <c r="E12" s="130">
        <v>381.58372637194446</v>
      </c>
      <c r="F12" s="13">
        <v>287.74257819928732</v>
      </c>
      <c r="G12" s="13">
        <v>440</v>
      </c>
      <c r="H12" s="13">
        <v>424</v>
      </c>
      <c r="I12" s="13">
        <v>139.26667758805868</v>
      </c>
      <c r="J12" s="13">
        <v>39.170287745711697</v>
      </c>
      <c r="K12" s="13">
        <v>1110.6048561530492</v>
      </c>
      <c r="L12" s="13">
        <v>0</v>
      </c>
      <c r="M12" s="13">
        <v>1796.1608987079055</v>
      </c>
      <c r="N12" s="13">
        <v>967.82542476351398</v>
      </c>
      <c r="O12" s="13">
        <v>522</v>
      </c>
      <c r="P12" s="13">
        <v>284</v>
      </c>
      <c r="Q12" s="13">
        <v>287</v>
      </c>
      <c r="R12" s="37">
        <v>1653</v>
      </c>
      <c r="U12" s="16"/>
      <c r="V12" s="16"/>
    </row>
    <row r="13" spans="1:22" x14ac:dyDescent="0.2">
      <c r="A13" s="27" t="s">
        <v>39</v>
      </c>
      <c r="B13" s="35">
        <f t="shared" si="3"/>
        <v>-0.62247648374974729</v>
      </c>
      <c r="C13" s="144">
        <f>E13-[1]Spain!E13</f>
        <v>-423.22891254490935</v>
      </c>
      <c r="D13" s="13">
        <f>F13-[1]Spain!F13</f>
        <v>-1293.7633711400856</v>
      </c>
      <c r="E13" s="130">
        <v>135.62027529308193</v>
      </c>
      <c r="F13" s="13">
        <v>359.23662885991445</v>
      </c>
      <c r="G13" s="13">
        <v>1580</v>
      </c>
      <c r="H13" s="13">
        <v>163</v>
      </c>
      <c r="I13" s="13">
        <v>524.52251944030786</v>
      </c>
      <c r="J13" s="13">
        <v>965.5811674641468</v>
      </c>
      <c r="K13" s="13">
        <v>1389.8645323967746</v>
      </c>
      <c r="L13" s="13">
        <v>251.56493920175487</v>
      </c>
      <c r="M13" s="13">
        <v>1496.5775096917525</v>
      </c>
      <c r="N13" s="13">
        <v>2776.1818778763163</v>
      </c>
      <c r="O13" s="13">
        <v>2076</v>
      </c>
      <c r="P13" s="13">
        <v>895</v>
      </c>
      <c r="Q13" s="13">
        <v>4128</v>
      </c>
      <c r="R13" s="37">
        <v>1996</v>
      </c>
      <c r="U13" s="13"/>
      <c r="V13" s="46"/>
    </row>
    <row r="14" spans="1:22" x14ac:dyDescent="0.2">
      <c r="A14" s="27" t="s">
        <v>7</v>
      </c>
      <c r="B14" s="35">
        <f t="shared" si="3"/>
        <v>-7.764661479020217E-2</v>
      </c>
      <c r="C14" s="144">
        <f>E14-[1]Spain!E14</f>
        <v>-11589.767870999875</v>
      </c>
      <c r="D14" s="13">
        <f>F14-[1]Spain!F14</f>
        <v>-7411.0479459362505</v>
      </c>
      <c r="E14" s="130">
        <v>14896.885301426837</v>
      </c>
      <c r="F14" s="13">
        <v>16150.95205406375</v>
      </c>
      <c r="G14" s="13">
        <v>17165</v>
      </c>
      <c r="H14" s="13">
        <v>10885</v>
      </c>
      <c r="I14" s="13">
        <v>18151.950017494753</v>
      </c>
      <c r="J14" s="13">
        <v>17427.927569044899</v>
      </c>
      <c r="K14" s="13">
        <v>19470.882840444927</v>
      </c>
      <c r="L14" s="13">
        <v>4682.0793744747552</v>
      </c>
      <c r="M14" s="13">
        <v>35647.406296364155</v>
      </c>
      <c r="N14" s="13">
        <v>24302.841842360544</v>
      </c>
      <c r="O14" s="13">
        <v>18299</v>
      </c>
      <c r="P14" s="13">
        <v>19579</v>
      </c>
      <c r="Q14" s="13">
        <v>11982</v>
      </c>
      <c r="R14" s="37">
        <v>20883</v>
      </c>
      <c r="U14" s="13"/>
      <c r="V14" s="46"/>
    </row>
    <row r="15" spans="1:22" x14ac:dyDescent="0.2">
      <c r="A15" s="27" t="s">
        <v>112</v>
      </c>
      <c r="B15" s="35"/>
      <c r="C15" s="144">
        <f>E15-[1]Spain!E15</f>
        <v>-1.1347652449601837</v>
      </c>
      <c r="D15" s="13">
        <f>F15-[1]Spain!F15</f>
        <v>0</v>
      </c>
      <c r="E15" s="130">
        <v>0</v>
      </c>
      <c r="F15" s="13"/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/>
      <c r="P15" s="13"/>
      <c r="Q15" s="13"/>
      <c r="R15" s="37"/>
      <c r="U15" s="13"/>
      <c r="V15" s="46"/>
    </row>
    <row r="16" spans="1:22" ht="13.5" thickBot="1" x14ac:dyDescent="0.25">
      <c r="A16" s="38" t="s">
        <v>59</v>
      </c>
      <c r="B16" s="36">
        <f t="shared" si="3"/>
        <v>0.43193339110040546</v>
      </c>
      <c r="C16" s="145">
        <f>E16-[1]Spain!E16</f>
        <v>53.795682835801244</v>
      </c>
      <c r="D16" s="15">
        <f>F16-[1]Spain!F16</f>
        <v>-146</v>
      </c>
      <c r="E16" s="131">
        <v>608.57169121767231</v>
      </c>
      <c r="F16" s="15">
        <v>425</v>
      </c>
      <c r="G16" s="15">
        <v>374</v>
      </c>
      <c r="H16" s="15">
        <v>389</v>
      </c>
      <c r="I16" s="15">
        <v>240.15361307793779</v>
      </c>
      <c r="J16" s="15">
        <v>26.22904396641961</v>
      </c>
      <c r="K16" s="15">
        <v>156.92056791536888</v>
      </c>
      <c r="L16" s="15">
        <v>7</v>
      </c>
      <c r="M16" s="15">
        <v>820.4694172908446</v>
      </c>
      <c r="N16" s="15">
        <v>465.41065380652441</v>
      </c>
      <c r="O16" s="15">
        <v>594</v>
      </c>
      <c r="P16" s="15">
        <v>376</v>
      </c>
      <c r="Q16" s="15">
        <v>783</v>
      </c>
      <c r="R16" s="39">
        <v>1377</v>
      </c>
      <c r="U16" s="13"/>
      <c r="V16" s="46"/>
    </row>
    <row r="17" spans="1:22" ht="13.5" thickBot="1" x14ac:dyDescent="0.25">
      <c r="A17" s="40" t="s">
        <v>23</v>
      </c>
      <c r="B17" s="41">
        <f t="shared" si="3"/>
        <v>-6.9690243119228279E-2</v>
      </c>
      <c r="C17" s="155">
        <f>E17-[1]Spain!E17</f>
        <v>-12443.170912582867</v>
      </c>
      <c r="D17" s="42">
        <f>F17-[1]Spain!F17</f>
        <v>-9175.0687388770493</v>
      </c>
      <c r="E17" s="123">
        <f>SUM(E12:E16)</f>
        <v>16022.660994309535</v>
      </c>
      <c r="F17" s="42">
        <f>SUM(F12:F16)</f>
        <v>17222.931261122951</v>
      </c>
      <c r="G17" s="42">
        <f t="shared" ref="G17:L17" si="4">SUM(G12:G16)</f>
        <v>19559</v>
      </c>
      <c r="H17" s="42">
        <f t="shared" si="4"/>
        <v>11861</v>
      </c>
      <c r="I17" s="42">
        <f t="shared" si="4"/>
        <v>19055.892827601059</v>
      </c>
      <c r="J17" s="42">
        <f t="shared" si="4"/>
        <v>18458.908068221179</v>
      </c>
      <c r="K17" s="42">
        <f t="shared" si="4"/>
        <v>22128.272796910118</v>
      </c>
      <c r="L17" s="42">
        <f t="shared" si="4"/>
        <v>4940.6443136765101</v>
      </c>
      <c r="M17" s="42">
        <f t="shared" ref="M17:R17" si="5">SUM(M12:M16)</f>
        <v>39760.614122054656</v>
      </c>
      <c r="N17" s="42">
        <f t="shared" si="5"/>
        <v>28512.259798806899</v>
      </c>
      <c r="O17" s="42">
        <f t="shared" si="5"/>
        <v>21491</v>
      </c>
      <c r="P17" s="42">
        <f t="shared" si="5"/>
        <v>21134</v>
      </c>
      <c r="Q17" s="42">
        <f t="shared" si="5"/>
        <v>17180</v>
      </c>
      <c r="R17" s="43">
        <f t="shared" si="5"/>
        <v>25909</v>
      </c>
      <c r="U17" s="13"/>
      <c r="V17" s="46"/>
    </row>
    <row r="18" spans="1:22" x14ac:dyDescent="0.2">
      <c r="U18" s="16"/>
      <c r="V18" s="16"/>
    </row>
    <row r="19" spans="1:22" x14ac:dyDescent="0.2">
      <c r="U19" s="16"/>
      <c r="V19" s="16"/>
    </row>
    <row r="20" spans="1:22" ht="14.25" x14ac:dyDescent="0.2">
      <c r="D20" s="141"/>
      <c r="E20" s="141"/>
      <c r="F20" s="141"/>
      <c r="G20" s="125"/>
      <c r="H20" s="126"/>
      <c r="U20" s="16"/>
      <c r="V20" s="16"/>
    </row>
    <row r="21" spans="1:22" ht="14.25" x14ac:dyDescent="0.2">
      <c r="D21" s="142"/>
      <c r="E21" s="142"/>
      <c r="F21" s="142"/>
      <c r="G21" s="125"/>
      <c r="H21" s="126"/>
    </row>
    <row r="22" spans="1:22" ht="14.25" x14ac:dyDescent="0.2">
      <c r="D22" s="86"/>
      <c r="E22" s="86"/>
      <c r="F22" s="86"/>
      <c r="G22" s="125"/>
      <c r="H22" s="126"/>
    </row>
    <row r="23" spans="1:22" ht="14.25" x14ac:dyDescent="0.2">
      <c r="D23" s="142"/>
      <c r="E23" s="142"/>
      <c r="F23" s="142"/>
      <c r="G23" s="125"/>
      <c r="H23" s="126"/>
    </row>
    <row r="24" spans="1:22" ht="18" x14ac:dyDescent="0.25">
      <c r="D24" s="142"/>
      <c r="E24" s="142"/>
      <c r="F24" s="142"/>
      <c r="G24" s="125"/>
      <c r="H24" s="126"/>
      <c r="Q24" s="5"/>
      <c r="R24" s="1"/>
      <c r="S24" s="1"/>
    </row>
    <row r="25" spans="1:22" ht="18" x14ac:dyDescent="0.25">
      <c r="D25" s="142"/>
      <c r="E25" s="142"/>
      <c r="F25" s="142"/>
      <c r="G25" s="125"/>
      <c r="H25" s="126"/>
      <c r="Q25" s="5"/>
      <c r="R25" s="1"/>
      <c r="S25" s="1"/>
    </row>
    <row r="26" spans="1:22" ht="18" x14ac:dyDescent="0.25">
      <c r="D26" s="142"/>
      <c r="E26" s="142"/>
      <c r="F26" s="142"/>
      <c r="G26" s="125"/>
      <c r="H26" s="126"/>
      <c r="Q26" s="5"/>
      <c r="R26" s="1"/>
      <c r="S26" s="1"/>
    </row>
    <row r="27" spans="1:22" ht="18" x14ac:dyDescent="0.25">
      <c r="D27" s="143"/>
      <c r="E27" s="143"/>
      <c r="F27" s="143"/>
      <c r="G27" s="127"/>
      <c r="H27" s="138"/>
      <c r="Q27" s="5"/>
      <c r="R27" s="1"/>
      <c r="S27" s="1"/>
    </row>
    <row r="28" spans="1:22" ht="18" x14ac:dyDescent="0.25">
      <c r="D28" s="142"/>
      <c r="E28" s="142"/>
      <c r="F28" s="142"/>
      <c r="G28" s="125"/>
      <c r="H28" s="126"/>
      <c r="Q28" s="5"/>
      <c r="R28" s="1"/>
      <c r="S28" s="1"/>
    </row>
    <row r="29" spans="1:22" ht="18" x14ac:dyDescent="0.25">
      <c r="D29" s="141"/>
      <c r="E29" s="141"/>
      <c r="F29" s="141"/>
      <c r="G29" s="125"/>
      <c r="H29" s="126"/>
      <c r="Q29" s="5"/>
      <c r="R29" s="1"/>
      <c r="S29" s="1"/>
    </row>
    <row r="30" spans="1:22" ht="18" x14ac:dyDescent="0.25">
      <c r="D30" s="141"/>
      <c r="E30" s="141"/>
      <c r="F30" s="141"/>
      <c r="G30" s="125"/>
      <c r="H30" s="126"/>
      <c r="Q30" s="5"/>
      <c r="R30" s="1"/>
      <c r="S30" s="1"/>
    </row>
    <row r="31" spans="1:22" ht="18" x14ac:dyDescent="0.25">
      <c r="D31" s="142"/>
      <c r="E31" s="142"/>
      <c r="F31" s="142"/>
      <c r="G31" s="125"/>
      <c r="H31" s="126"/>
      <c r="Q31" s="5"/>
      <c r="R31" s="1"/>
      <c r="S31" s="1"/>
    </row>
    <row r="32" spans="1:22" ht="18" x14ac:dyDescent="0.25">
      <c r="D32" s="142"/>
      <c r="E32" s="142"/>
      <c r="F32" s="142"/>
      <c r="G32" s="125"/>
      <c r="H32" s="126"/>
      <c r="Q32" s="5"/>
      <c r="R32" s="1"/>
      <c r="S32" s="1"/>
    </row>
    <row r="33" spans="4:19" ht="18" x14ac:dyDescent="0.25">
      <c r="D33" s="142"/>
      <c r="E33" s="142"/>
      <c r="F33" s="142"/>
      <c r="G33" s="125"/>
      <c r="H33" s="126"/>
      <c r="Q33" s="5"/>
      <c r="R33" s="1"/>
      <c r="S33" s="1"/>
    </row>
    <row r="34" spans="4:19" ht="18" x14ac:dyDescent="0.25">
      <c r="D34" s="142"/>
      <c r="E34" s="142"/>
      <c r="F34" s="142"/>
      <c r="G34" s="125"/>
      <c r="H34" s="126"/>
      <c r="Q34" s="6"/>
      <c r="R34" s="1"/>
      <c r="S34" s="1"/>
    </row>
    <row r="35" spans="4:19" ht="18.75" x14ac:dyDescent="0.3">
      <c r="D35" s="142"/>
      <c r="E35" s="142"/>
      <c r="F35" s="142"/>
      <c r="G35" s="125"/>
      <c r="H35" s="126"/>
      <c r="Q35" s="7"/>
      <c r="R35" s="2"/>
      <c r="S35" s="2"/>
    </row>
    <row r="36" spans="4:19" ht="15" x14ac:dyDescent="0.25">
      <c r="D36" s="143"/>
      <c r="E36" s="143"/>
      <c r="F36" s="143"/>
      <c r="G36" s="127"/>
      <c r="H36" s="138"/>
    </row>
    <row r="37" spans="4:19" x14ac:dyDescent="0.2">
      <c r="D37" s="12"/>
      <c r="E37" s="12"/>
      <c r="F37" s="12"/>
      <c r="G37" s="12"/>
      <c r="H37" s="12"/>
    </row>
  </sheetData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81" zoomScaleNormal="81" workbookViewId="0">
      <selection activeCell="C25" sqref="C25"/>
    </sheetView>
  </sheetViews>
  <sheetFormatPr defaultColWidth="9.28515625" defaultRowHeight="12.75" x14ac:dyDescent="0.2"/>
  <cols>
    <col min="1" max="1" width="29.28515625" customWidth="1"/>
    <col min="2" max="2" width="10.7109375" customWidth="1"/>
    <col min="3" max="3" width="11.5703125" bestFit="1" customWidth="1"/>
    <col min="4" max="6" width="11.7109375" style="9" customWidth="1"/>
    <col min="7" max="7" width="12" style="9" customWidth="1"/>
    <col min="8" max="8" width="10.28515625" style="9" bestFit="1" customWidth="1"/>
    <col min="9" max="16" width="10.28515625" style="16" bestFit="1" customWidth="1"/>
    <col min="17" max="18" width="10.28515625" bestFit="1" customWidth="1"/>
  </cols>
  <sheetData>
    <row r="1" spans="1:18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5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8" x14ac:dyDescent="0.2">
      <c r="A2" s="27" t="s">
        <v>4</v>
      </c>
      <c r="B2" s="35"/>
      <c r="C2" s="144">
        <f>E2-[1]Switzerland!E2</f>
        <v>0</v>
      </c>
      <c r="D2" s="13">
        <f>F2-[1]Switzerland!F2</f>
        <v>-5</v>
      </c>
      <c r="E2" s="160">
        <v>0</v>
      </c>
      <c r="F2" s="13"/>
      <c r="G2" s="13">
        <v>0</v>
      </c>
      <c r="H2" s="13">
        <v>0</v>
      </c>
      <c r="I2" s="13">
        <v>0</v>
      </c>
      <c r="J2" s="13">
        <v>0</v>
      </c>
      <c r="K2" s="13">
        <v>0</v>
      </c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1</v>
      </c>
      <c r="R2" s="37">
        <v>1</v>
      </c>
    </row>
    <row r="3" spans="1:18" x14ac:dyDescent="0.2">
      <c r="A3" s="27" t="s">
        <v>11</v>
      </c>
      <c r="B3" s="35">
        <f t="shared" ref="B3:B19" si="0">(E3-F3)/F3</f>
        <v>-0.57496066531804901</v>
      </c>
      <c r="C3" s="144">
        <f>E3-[1]Switzerland!E3</f>
        <v>-1652</v>
      </c>
      <c r="D3" s="13">
        <f>F3-[1]Switzerland!F3</f>
        <v>-1551</v>
      </c>
      <c r="E3" s="160">
        <v>1891</v>
      </c>
      <c r="F3" s="13">
        <f>4358+91</f>
        <v>4449</v>
      </c>
      <c r="G3" s="13">
        <f>431+4</f>
        <v>435</v>
      </c>
      <c r="H3" s="13">
        <v>2667</v>
      </c>
      <c r="I3" s="13">
        <v>2513</v>
      </c>
      <c r="J3" s="13">
        <v>2647</v>
      </c>
      <c r="K3" s="13">
        <v>3092</v>
      </c>
      <c r="L3" s="13">
        <v>2278</v>
      </c>
      <c r="M3" s="13">
        <v>2501</v>
      </c>
      <c r="N3" s="13">
        <v>1534</v>
      </c>
      <c r="O3" s="13">
        <v>1695</v>
      </c>
      <c r="P3" s="13">
        <v>1094</v>
      </c>
      <c r="Q3" s="13">
        <v>519</v>
      </c>
      <c r="R3" s="37">
        <v>229</v>
      </c>
    </row>
    <row r="4" spans="1:18" x14ac:dyDescent="0.2">
      <c r="A4" s="27" t="s">
        <v>5</v>
      </c>
      <c r="B4" s="35"/>
      <c r="C4" s="144">
        <f>E4-[1]Switzerland!E4</f>
        <v>0</v>
      </c>
      <c r="D4" s="13">
        <f>F4-[1]Switzerland!F4</f>
        <v>0</v>
      </c>
      <c r="E4" s="160">
        <v>0</v>
      </c>
      <c r="F4" s="13"/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37">
        <v>0</v>
      </c>
    </row>
    <row r="5" spans="1:18" x14ac:dyDescent="0.2">
      <c r="A5" s="27" t="s">
        <v>2</v>
      </c>
      <c r="B5" s="35"/>
      <c r="C5" s="144">
        <f>E5-[1]Switzerland!E5</f>
        <v>0</v>
      </c>
      <c r="D5" s="13">
        <f>F5-[1]Switzerland!F5</f>
        <v>0</v>
      </c>
      <c r="E5" s="160">
        <v>0</v>
      </c>
      <c r="F5" s="13"/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30</v>
      </c>
      <c r="N5" s="13">
        <v>0</v>
      </c>
      <c r="O5" s="13">
        <v>0</v>
      </c>
      <c r="P5" s="13">
        <v>0</v>
      </c>
      <c r="Q5" s="13">
        <v>0</v>
      </c>
      <c r="R5" s="37">
        <v>0</v>
      </c>
    </row>
    <row r="6" spans="1:18" x14ac:dyDescent="0.2">
      <c r="A6" s="27" t="s">
        <v>9</v>
      </c>
      <c r="B6" s="35">
        <f t="shared" si="0"/>
        <v>-7.7617105425781735E-2</v>
      </c>
      <c r="C6" s="144">
        <f>E6-[1]Switzerland!E6</f>
        <v>-3079</v>
      </c>
      <c r="D6" s="13">
        <f>F6-[1]Switzerland!F6</f>
        <v>-3137</v>
      </c>
      <c r="E6" s="160">
        <v>7463</v>
      </c>
      <c r="F6" s="13">
        <f>7945+146</f>
        <v>8091</v>
      </c>
      <c r="G6" s="13">
        <v>1522</v>
      </c>
      <c r="H6" s="13">
        <v>4613</v>
      </c>
      <c r="I6" s="13">
        <v>6581</v>
      </c>
      <c r="J6" s="13">
        <v>4730</v>
      </c>
      <c r="K6" s="13">
        <v>5986</v>
      </c>
      <c r="L6" s="13">
        <v>5077</v>
      </c>
      <c r="M6" s="13">
        <v>8074</v>
      </c>
      <c r="N6" s="13">
        <v>5654</v>
      </c>
      <c r="O6" s="13">
        <v>5865</v>
      </c>
      <c r="P6" s="13">
        <v>2201</v>
      </c>
      <c r="Q6" s="13">
        <v>5090</v>
      </c>
      <c r="R6" s="37">
        <v>2664</v>
      </c>
    </row>
    <row r="7" spans="1:18" x14ac:dyDescent="0.2">
      <c r="A7" s="27" t="s">
        <v>113</v>
      </c>
      <c r="B7" s="35">
        <f t="shared" si="0"/>
        <v>-0.96250000000000002</v>
      </c>
      <c r="C7" s="144">
        <f>E7-[1]Switzerland!E7</f>
        <v>-12</v>
      </c>
      <c r="D7" s="13">
        <f>F7-[1]Switzerland!F7</f>
        <v>-18</v>
      </c>
      <c r="E7" s="160">
        <v>3</v>
      </c>
      <c r="F7" s="13">
        <v>80</v>
      </c>
      <c r="G7" s="13">
        <v>0</v>
      </c>
      <c r="H7" s="13">
        <v>52</v>
      </c>
      <c r="I7" s="13">
        <v>39</v>
      </c>
      <c r="J7" s="13">
        <v>23</v>
      </c>
      <c r="K7" s="13">
        <v>60</v>
      </c>
      <c r="L7" s="13">
        <v>70</v>
      </c>
      <c r="M7" s="13">
        <v>25</v>
      </c>
      <c r="N7" s="13">
        <v>310</v>
      </c>
      <c r="O7" s="13">
        <v>3</v>
      </c>
      <c r="P7" s="13">
        <v>199</v>
      </c>
      <c r="Q7" s="13">
        <v>89</v>
      </c>
      <c r="R7" s="37">
        <v>180</v>
      </c>
    </row>
    <row r="8" spans="1:18" x14ac:dyDescent="0.2">
      <c r="A8" s="29" t="s">
        <v>3</v>
      </c>
      <c r="B8" s="35">
        <f t="shared" si="0"/>
        <v>-1.7793594306049821E-3</v>
      </c>
      <c r="C8" s="144">
        <f>E8-[1]Switzerland!E8</f>
        <v>-1469</v>
      </c>
      <c r="D8" s="13">
        <f>F8-[1]Switzerland!F8</f>
        <v>-1273</v>
      </c>
      <c r="E8" s="160">
        <v>5610</v>
      </c>
      <c r="F8" s="13">
        <f>5534+86</f>
        <v>5620</v>
      </c>
      <c r="G8" s="13">
        <v>3706</v>
      </c>
      <c r="H8" s="100">
        <v>7913</v>
      </c>
      <c r="I8" s="100">
        <v>6073</v>
      </c>
      <c r="J8" s="100">
        <v>7698</v>
      </c>
      <c r="K8" s="100">
        <v>5590</v>
      </c>
      <c r="L8" s="100">
        <v>8179</v>
      </c>
      <c r="M8" s="100">
        <v>8252</v>
      </c>
      <c r="N8" s="100">
        <v>9163</v>
      </c>
      <c r="O8" s="100">
        <v>10020</v>
      </c>
      <c r="P8" s="100">
        <v>10516</v>
      </c>
      <c r="Q8" s="13">
        <v>10029</v>
      </c>
      <c r="R8" s="37">
        <v>11362</v>
      </c>
    </row>
    <row r="9" spans="1:18" x14ac:dyDescent="0.2">
      <c r="A9" s="29" t="s">
        <v>17</v>
      </c>
      <c r="B9" s="35">
        <f t="shared" si="0"/>
        <v>-1</v>
      </c>
      <c r="C9" s="144">
        <f>E9-[1]Switzerland!E9</f>
        <v>-35</v>
      </c>
      <c r="D9" s="13">
        <f>F9-[1]Switzerland!F9</f>
        <v>-11</v>
      </c>
      <c r="E9" s="160">
        <v>0</v>
      </c>
      <c r="F9" s="13">
        <v>69</v>
      </c>
      <c r="G9" s="13">
        <v>1</v>
      </c>
      <c r="H9" s="100">
        <v>1</v>
      </c>
      <c r="I9" s="100">
        <v>1</v>
      </c>
      <c r="J9" s="100">
        <v>2</v>
      </c>
      <c r="K9" s="100">
        <v>0</v>
      </c>
      <c r="L9" s="100">
        <v>5</v>
      </c>
      <c r="M9" s="100">
        <v>0</v>
      </c>
      <c r="N9" s="100">
        <v>30</v>
      </c>
      <c r="O9" s="100">
        <v>2</v>
      </c>
      <c r="P9" s="100">
        <v>0</v>
      </c>
      <c r="Q9" s="13">
        <v>0</v>
      </c>
      <c r="R9" s="37">
        <v>0</v>
      </c>
    </row>
    <row r="10" spans="1:18" x14ac:dyDescent="0.2">
      <c r="A10" s="29" t="s">
        <v>10</v>
      </c>
      <c r="B10" s="35">
        <f t="shared" si="0"/>
        <v>-0.84426229508196726</v>
      </c>
      <c r="C10" s="144">
        <f>E10-[1]Switzerland!E10</f>
        <v>-66</v>
      </c>
      <c r="D10" s="13">
        <f>F10-[1]Switzerland!F10</f>
        <v>-22</v>
      </c>
      <c r="E10" s="160">
        <v>38</v>
      </c>
      <c r="F10" s="13">
        <v>244</v>
      </c>
      <c r="G10" s="13">
        <v>4</v>
      </c>
      <c r="H10" s="100">
        <v>204</v>
      </c>
      <c r="I10" s="100">
        <v>607</v>
      </c>
      <c r="J10" s="100">
        <v>524</v>
      </c>
      <c r="K10" s="100">
        <v>971</v>
      </c>
      <c r="L10" s="100">
        <v>635</v>
      </c>
      <c r="M10" s="100">
        <v>462</v>
      </c>
      <c r="N10" s="100">
        <v>1768</v>
      </c>
      <c r="O10" s="100">
        <v>1199</v>
      </c>
      <c r="P10" s="100">
        <v>1682</v>
      </c>
      <c r="Q10" s="13">
        <v>544</v>
      </c>
      <c r="R10" s="37">
        <v>1836</v>
      </c>
    </row>
    <row r="11" spans="1:18" x14ac:dyDescent="0.2">
      <c r="A11" s="29" t="s">
        <v>27</v>
      </c>
      <c r="B11" s="35">
        <f t="shared" si="0"/>
        <v>-0.33643521832498208</v>
      </c>
      <c r="C11" s="144">
        <f>E11-[1]Switzerland!E11</f>
        <v>-466</v>
      </c>
      <c r="D11" s="13">
        <f>F11-[1]Switzerland!F11</f>
        <v>-164</v>
      </c>
      <c r="E11" s="160">
        <v>927</v>
      </c>
      <c r="F11" s="13">
        <v>1397</v>
      </c>
      <c r="G11" s="13">
        <v>0</v>
      </c>
      <c r="H11" s="100">
        <v>1862</v>
      </c>
      <c r="I11" s="100">
        <v>1305</v>
      </c>
      <c r="J11" s="100">
        <v>1688</v>
      </c>
      <c r="K11" s="100">
        <v>1679</v>
      </c>
      <c r="L11" s="100">
        <v>1633</v>
      </c>
      <c r="M11" s="100">
        <v>2293</v>
      </c>
      <c r="N11" s="100">
        <v>1507</v>
      </c>
      <c r="O11" s="100">
        <v>1983</v>
      </c>
      <c r="P11" s="100">
        <v>1925</v>
      </c>
      <c r="Q11" s="13">
        <v>1993</v>
      </c>
      <c r="R11" s="37">
        <v>2173</v>
      </c>
    </row>
    <row r="12" spans="1:18" x14ac:dyDescent="0.2">
      <c r="A12" s="29" t="s">
        <v>114</v>
      </c>
      <c r="B12" s="35">
        <f t="shared" si="0"/>
        <v>-1</v>
      </c>
      <c r="C12" s="144">
        <f>E12-[1]Switzerland!E12</f>
        <v>0</v>
      </c>
      <c r="D12" s="13">
        <f>F12-[1]Switzerland!F12</f>
        <v>-55</v>
      </c>
      <c r="E12" s="160">
        <v>0</v>
      </c>
      <c r="F12" s="13">
        <v>126</v>
      </c>
      <c r="G12" s="13">
        <v>0</v>
      </c>
      <c r="H12" s="100">
        <v>32</v>
      </c>
      <c r="I12" s="100">
        <v>0</v>
      </c>
      <c r="J12" s="100">
        <v>42</v>
      </c>
      <c r="K12" s="100">
        <v>74</v>
      </c>
      <c r="L12" s="100">
        <v>0</v>
      </c>
      <c r="M12" s="100">
        <v>10</v>
      </c>
      <c r="N12" s="100">
        <v>30</v>
      </c>
      <c r="O12" s="100">
        <v>0</v>
      </c>
      <c r="P12" s="100">
        <v>0</v>
      </c>
      <c r="Q12" s="13">
        <v>1</v>
      </c>
      <c r="R12" s="37">
        <v>33</v>
      </c>
    </row>
    <row r="13" spans="1:18" x14ac:dyDescent="0.2">
      <c r="A13" s="29" t="s">
        <v>115</v>
      </c>
      <c r="B13" s="35">
        <f t="shared" si="0"/>
        <v>-0.90909090909090906</v>
      </c>
      <c r="C13" s="144">
        <f>E13-[1]Switzerland!E13</f>
        <v>-7</v>
      </c>
      <c r="D13" s="13">
        <f>F13-[1]Switzerland!F13</f>
        <v>-93</v>
      </c>
      <c r="E13" s="160">
        <v>16</v>
      </c>
      <c r="F13" s="13">
        <v>176</v>
      </c>
      <c r="G13" s="13">
        <v>6</v>
      </c>
      <c r="H13" s="100">
        <v>140</v>
      </c>
      <c r="I13" s="100">
        <v>235</v>
      </c>
      <c r="J13" s="100">
        <v>529</v>
      </c>
      <c r="K13" s="100">
        <v>471</v>
      </c>
      <c r="L13" s="100">
        <v>898</v>
      </c>
      <c r="M13" s="100">
        <v>1132</v>
      </c>
      <c r="N13" s="100">
        <v>2753</v>
      </c>
      <c r="O13" s="100">
        <v>2565</v>
      </c>
      <c r="P13" s="100">
        <v>2046</v>
      </c>
      <c r="Q13" s="13">
        <v>2709</v>
      </c>
      <c r="R13" s="37">
        <v>4252</v>
      </c>
    </row>
    <row r="14" spans="1:18" x14ac:dyDescent="0.2">
      <c r="A14" s="29" t="s">
        <v>13</v>
      </c>
      <c r="B14" s="35">
        <f t="shared" si="0"/>
        <v>-0.90909090909090906</v>
      </c>
      <c r="C14" s="144">
        <f>E14-[1]Switzerland!E14</f>
        <v>-8</v>
      </c>
      <c r="D14" s="13">
        <f>F14-[1]Switzerland!F14</f>
        <v>-47</v>
      </c>
      <c r="E14" s="160">
        <v>5</v>
      </c>
      <c r="F14" s="13">
        <v>55</v>
      </c>
      <c r="G14" s="13">
        <v>0</v>
      </c>
      <c r="H14" s="100">
        <v>99</v>
      </c>
      <c r="I14" s="100">
        <v>45</v>
      </c>
      <c r="J14" s="100">
        <v>9</v>
      </c>
      <c r="K14" s="100">
        <v>168</v>
      </c>
      <c r="L14" s="100">
        <v>375</v>
      </c>
      <c r="M14" s="100">
        <v>473</v>
      </c>
      <c r="N14" s="100">
        <v>347</v>
      </c>
      <c r="O14" s="100">
        <v>312</v>
      </c>
      <c r="P14" s="100">
        <v>190</v>
      </c>
      <c r="Q14" s="13">
        <v>250</v>
      </c>
      <c r="R14" s="37">
        <v>200</v>
      </c>
    </row>
    <row r="15" spans="1:18" x14ac:dyDescent="0.2">
      <c r="A15" s="29" t="s">
        <v>116</v>
      </c>
      <c r="B15" s="35">
        <f t="shared" si="0"/>
        <v>-1</v>
      </c>
      <c r="C15" s="144">
        <f>E15-[1]Switzerland!E15</f>
        <v>0</v>
      </c>
      <c r="D15" s="13">
        <f>F15-[1]Switzerland!F15</f>
        <v>-6</v>
      </c>
      <c r="E15" s="160">
        <v>0</v>
      </c>
      <c r="F15" s="13">
        <v>4</v>
      </c>
      <c r="G15" s="13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3">
        <v>0</v>
      </c>
      <c r="R15" s="37">
        <v>0</v>
      </c>
    </row>
    <row r="16" spans="1:18" x14ac:dyDescent="0.2">
      <c r="A16" s="29" t="s">
        <v>97</v>
      </c>
      <c r="B16" s="35">
        <f t="shared" si="0"/>
        <v>-0.99212598425196852</v>
      </c>
      <c r="C16" s="144">
        <f>E16-[1]Switzerland!E16</f>
        <v>-6</v>
      </c>
      <c r="D16" s="13">
        <f>F16-[1]Switzerland!F16</f>
        <v>-133</v>
      </c>
      <c r="E16" s="160">
        <v>1</v>
      </c>
      <c r="F16" s="13">
        <v>127</v>
      </c>
      <c r="G16" s="13">
        <v>0</v>
      </c>
      <c r="H16" s="100">
        <v>48</v>
      </c>
      <c r="I16" s="100">
        <v>82</v>
      </c>
      <c r="J16" s="100">
        <v>37</v>
      </c>
      <c r="K16" s="100">
        <v>322</v>
      </c>
      <c r="L16" s="100">
        <v>116</v>
      </c>
      <c r="M16" s="100">
        <v>452</v>
      </c>
      <c r="N16" s="100">
        <v>174</v>
      </c>
      <c r="O16" s="100">
        <v>342</v>
      </c>
      <c r="P16" s="100">
        <v>105</v>
      </c>
      <c r="Q16" s="13">
        <v>150</v>
      </c>
      <c r="R16" s="37">
        <v>128</v>
      </c>
    </row>
    <row r="17" spans="1:18" x14ac:dyDescent="0.2">
      <c r="A17" s="53" t="s">
        <v>88</v>
      </c>
      <c r="B17" s="35">
        <f t="shared" si="0"/>
        <v>-0.46718621821164891</v>
      </c>
      <c r="C17" s="144">
        <f>E17-[1]Switzerland!E17</f>
        <v>-1936</v>
      </c>
      <c r="D17" s="13">
        <f>F17-[1]Switzerland!F17</f>
        <v>-2167</v>
      </c>
      <c r="E17" s="160">
        <v>2598</v>
      </c>
      <c r="F17" s="13">
        <f>4796+80</f>
        <v>4876</v>
      </c>
      <c r="G17" s="13">
        <v>1585</v>
      </c>
      <c r="H17" s="100">
        <v>3337</v>
      </c>
      <c r="I17" s="100">
        <v>3205</v>
      </c>
      <c r="J17" s="100">
        <v>4900</v>
      </c>
      <c r="K17" s="100">
        <v>3785</v>
      </c>
      <c r="L17" s="100">
        <v>1829</v>
      </c>
      <c r="M17" s="100">
        <v>2519</v>
      </c>
      <c r="N17" s="100">
        <v>668</v>
      </c>
      <c r="O17" s="100">
        <f>7+123+746</f>
        <v>876</v>
      </c>
      <c r="P17" s="100">
        <v>322</v>
      </c>
      <c r="Q17" s="13">
        <v>183</v>
      </c>
      <c r="R17" s="37">
        <v>54</v>
      </c>
    </row>
    <row r="18" spans="1:18" ht="13.5" thickBot="1" x14ac:dyDescent="0.25">
      <c r="A18" s="30" t="s">
        <v>59</v>
      </c>
      <c r="B18" s="36">
        <f t="shared" si="0"/>
        <v>-0.66969696969696968</v>
      </c>
      <c r="C18" s="145">
        <f>E18-[1]Switzerland!E18</f>
        <v>-420</v>
      </c>
      <c r="D18" s="15">
        <f>F18-[1]Switzerland!F18</f>
        <v>-608</v>
      </c>
      <c r="E18" s="161">
        <v>872</v>
      </c>
      <c r="F18" s="15">
        <f>160+249+1854+44+325+8</f>
        <v>2640</v>
      </c>
      <c r="G18" s="15">
        <f>41+123+47+2</f>
        <v>213</v>
      </c>
      <c r="H18" s="101">
        <v>1738</v>
      </c>
      <c r="I18" s="101">
        <v>491</v>
      </c>
      <c r="J18" s="101">
        <v>352</v>
      </c>
      <c r="K18" s="101">
        <v>548</v>
      </c>
      <c r="L18" s="101">
        <v>179</v>
      </c>
      <c r="M18" s="101">
        <v>351</v>
      </c>
      <c r="N18" s="101">
        <v>163</v>
      </c>
      <c r="O18" s="101">
        <v>333</v>
      </c>
      <c r="P18" s="101">
        <v>171</v>
      </c>
      <c r="Q18" s="15">
        <v>270</v>
      </c>
      <c r="R18" s="39">
        <v>193</v>
      </c>
    </row>
    <row r="19" spans="1:18" ht="13.5" thickBot="1" x14ac:dyDescent="0.25">
      <c r="A19" s="45" t="s">
        <v>23</v>
      </c>
      <c r="B19" s="41">
        <f t="shared" si="0"/>
        <v>-0.3051441654146097</v>
      </c>
      <c r="C19" s="155">
        <f>E19-[1]Switzerland!E19</f>
        <v>-9156</v>
      </c>
      <c r="D19" s="42">
        <f>F19-[1]Switzerland!F19</f>
        <v>-9290</v>
      </c>
      <c r="E19" s="158">
        <v>19424</v>
      </c>
      <c r="F19" s="42">
        <f>SUM(F2:F18)</f>
        <v>27954</v>
      </c>
      <c r="G19" s="42">
        <f t="shared" ref="G19:L19" si="1">SUM(G2:G18)</f>
        <v>7472</v>
      </c>
      <c r="H19" s="42">
        <f t="shared" si="1"/>
        <v>22706</v>
      </c>
      <c r="I19" s="42">
        <f t="shared" si="1"/>
        <v>21177</v>
      </c>
      <c r="J19" s="42">
        <f t="shared" si="1"/>
        <v>23181</v>
      </c>
      <c r="K19" s="42">
        <f t="shared" si="1"/>
        <v>22746</v>
      </c>
      <c r="L19" s="42">
        <f t="shared" si="1"/>
        <v>21274</v>
      </c>
      <c r="M19" s="42">
        <f t="shared" ref="M19:R19" si="2">SUM(M2:M18)</f>
        <v>26574</v>
      </c>
      <c r="N19" s="42">
        <f t="shared" si="2"/>
        <v>24101</v>
      </c>
      <c r="O19" s="42">
        <f t="shared" si="2"/>
        <v>25195</v>
      </c>
      <c r="P19" s="42">
        <f t="shared" si="2"/>
        <v>20451</v>
      </c>
      <c r="Q19" s="42">
        <f t="shared" si="2"/>
        <v>21828</v>
      </c>
      <c r="R19" s="43">
        <f t="shared" si="2"/>
        <v>23305</v>
      </c>
    </row>
    <row r="20" spans="1:18" s="9" customFormat="1" x14ac:dyDescent="0.2">
      <c r="B20" s="44"/>
      <c r="C20" s="44"/>
      <c r="D20" s="44"/>
      <c r="E20" s="157"/>
      <c r="F20" s="44"/>
      <c r="G20" s="44"/>
      <c r="H20" s="12"/>
      <c r="I20" s="12"/>
      <c r="J20" s="12"/>
      <c r="K20" s="12"/>
      <c r="L20" s="12"/>
      <c r="M20" s="12"/>
      <c r="N20" s="12"/>
      <c r="O20" s="12"/>
      <c r="P20" s="12"/>
    </row>
    <row r="21" spans="1:18" s="9" customFormat="1" ht="13.5" thickBot="1" x14ac:dyDescent="0.25">
      <c r="B21" s="44"/>
      <c r="C21" s="44"/>
      <c r="D21" s="44"/>
      <c r="E21" s="157"/>
      <c r="F21" s="44"/>
      <c r="G21" s="44"/>
      <c r="H21" s="12"/>
      <c r="I21" s="12"/>
      <c r="J21" s="12"/>
      <c r="K21" s="12"/>
      <c r="L21" s="12"/>
      <c r="M21" s="12"/>
      <c r="N21" s="12"/>
      <c r="O21" s="12"/>
      <c r="P21" s="12"/>
    </row>
    <row r="22" spans="1:18" s="16" customFormat="1" ht="13.5" thickBot="1" x14ac:dyDescent="0.25">
      <c r="A22" s="31" t="s">
        <v>25</v>
      </c>
      <c r="B22" s="32" t="s">
        <v>176</v>
      </c>
      <c r="C22" s="62" t="s">
        <v>177</v>
      </c>
      <c r="D22" s="99" t="s">
        <v>174</v>
      </c>
      <c r="E22" s="159">
        <v>43952</v>
      </c>
      <c r="F22" s="137">
        <v>43586</v>
      </c>
      <c r="G22" s="137">
        <v>43221</v>
      </c>
      <c r="H22" s="33">
        <v>42856</v>
      </c>
      <c r="I22" s="33">
        <v>42491</v>
      </c>
      <c r="J22" s="33">
        <v>42125</v>
      </c>
      <c r="K22" s="33">
        <v>41760</v>
      </c>
      <c r="L22" s="33">
        <v>41395</v>
      </c>
      <c r="M22" s="33">
        <v>41030</v>
      </c>
      <c r="N22" s="33">
        <v>40664</v>
      </c>
      <c r="O22" s="33">
        <v>40299</v>
      </c>
      <c r="P22" s="33">
        <v>39934</v>
      </c>
      <c r="Q22" s="33">
        <v>39569</v>
      </c>
      <c r="R22" s="34">
        <v>39203</v>
      </c>
    </row>
    <row r="23" spans="1:18" x14ac:dyDescent="0.2">
      <c r="A23" s="27" t="s">
        <v>117</v>
      </c>
      <c r="B23" s="35">
        <f t="shared" ref="B23:B28" si="3">(E23-F23)/F23</f>
        <v>0.33541341653666146</v>
      </c>
      <c r="C23" s="144">
        <f>E23-[1]Switzerland!E23</f>
        <v>-1508</v>
      </c>
      <c r="D23" s="13">
        <f>F23-[1]Switzerland!F23</f>
        <v>-1263</v>
      </c>
      <c r="E23" s="160">
        <v>856</v>
      </c>
      <c r="F23" s="13">
        <v>641</v>
      </c>
      <c r="G23" s="13">
        <v>0</v>
      </c>
      <c r="H23" s="13">
        <v>1</v>
      </c>
      <c r="I23" s="13">
        <v>33</v>
      </c>
      <c r="J23" s="13">
        <v>508</v>
      </c>
      <c r="K23" s="13">
        <v>96</v>
      </c>
      <c r="L23" s="13">
        <v>0</v>
      </c>
      <c r="M23" s="13">
        <v>296</v>
      </c>
      <c r="N23" s="13">
        <v>0</v>
      </c>
      <c r="O23" s="13">
        <v>99</v>
      </c>
      <c r="P23" s="13">
        <v>0</v>
      </c>
      <c r="Q23" s="13">
        <v>68</v>
      </c>
      <c r="R23" s="37">
        <v>0</v>
      </c>
    </row>
    <row r="24" spans="1:18" x14ac:dyDescent="0.2">
      <c r="A24" s="27" t="s">
        <v>7</v>
      </c>
      <c r="B24" s="35"/>
      <c r="C24" s="144">
        <f>E24-[1]Switzerland!E24</f>
        <v>-40</v>
      </c>
      <c r="D24" s="13">
        <f>F24-[1]Switzerland!F24</f>
        <v>-24</v>
      </c>
      <c r="E24" s="160">
        <v>0</v>
      </c>
      <c r="F24" s="13">
        <v>0</v>
      </c>
      <c r="G24" s="13">
        <v>0</v>
      </c>
      <c r="H24" s="13">
        <v>1</v>
      </c>
      <c r="I24" s="13">
        <v>0</v>
      </c>
      <c r="J24" s="13">
        <v>0</v>
      </c>
      <c r="K24" s="13">
        <v>0</v>
      </c>
      <c r="L24" s="13">
        <v>0</v>
      </c>
      <c r="M24" s="13">
        <v>586</v>
      </c>
      <c r="N24" s="13">
        <v>0</v>
      </c>
      <c r="O24" s="13">
        <v>55</v>
      </c>
      <c r="P24" s="13">
        <v>0</v>
      </c>
      <c r="Q24" s="13">
        <v>147</v>
      </c>
      <c r="R24" s="37">
        <v>0</v>
      </c>
    </row>
    <row r="25" spans="1:18" x14ac:dyDescent="0.2">
      <c r="A25" s="27" t="s">
        <v>118</v>
      </c>
      <c r="B25" s="35"/>
      <c r="C25" s="144">
        <f>E25-[1]Switzerland!E25</f>
        <v>-15</v>
      </c>
      <c r="D25" s="13">
        <f>F25-[1]Switzerland!F25</f>
        <v>-6</v>
      </c>
      <c r="E25" s="160">
        <v>0</v>
      </c>
      <c r="F25" s="13">
        <v>0</v>
      </c>
      <c r="G25" s="13">
        <v>0</v>
      </c>
      <c r="H25" s="13">
        <v>1</v>
      </c>
      <c r="I25" s="13">
        <v>0</v>
      </c>
      <c r="J25" s="13">
        <v>1</v>
      </c>
      <c r="K25" s="13">
        <v>0</v>
      </c>
      <c r="L25" s="13">
        <v>0</v>
      </c>
      <c r="M25" s="13">
        <v>203</v>
      </c>
      <c r="N25" s="13">
        <v>0</v>
      </c>
      <c r="O25" s="13">
        <v>1</v>
      </c>
      <c r="P25" s="13">
        <v>0</v>
      </c>
      <c r="Q25" s="13">
        <v>45</v>
      </c>
      <c r="R25" s="37">
        <v>0</v>
      </c>
    </row>
    <row r="26" spans="1:18" x14ac:dyDescent="0.2">
      <c r="A26" s="27" t="s">
        <v>143</v>
      </c>
      <c r="B26" s="35"/>
      <c r="C26" s="144">
        <f>E26-[1]Switzerland!E26</f>
        <v>-10</v>
      </c>
      <c r="D26" s="13">
        <f>F26-[1]Switzerland!F26</f>
        <v>0</v>
      </c>
      <c r="E26" s="160">
        <v>0</v>
      </c>
      <c r="F26" s="13">
        <v>0</v>
      </c>
      <c r="G26" s="13">
        <v>0</v>
      </c>
      <c r="H26" s="13"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37"/>
    </row>
    <row r="27" spans="1:18" ht="13.5" thickBot="1" x14ac:dyDescent="0.25">
      <c r="A27" s="38" t="s">
        <v>59</v>
      </c>
      <c r="B27" s="36">
        <f t="shared" si="3"/>
        <v>-1</v>
      </c>
      <c r="C27" s="145">
        <f>E27-[1]Switzerland!E27</f>
        <v>-30</v>
      </c>
      <c r="D27" s="15">
        <f>F27-[1]Switzerland!F27</f>
        <v>-45</v>
      </c>
      <c r="E27" s="161">
        <v>0</v>
      </c>
      <c r="F27" s="15">
        <v>35</v>
      </c>
      <c r="G27" s="15">
        <v>0</v>
      </c>
      <c r="H27" s="15">
        <v>0</v>
      </c>
      <c r="I27" s="15">
        <v>0</v>
      </c>
      <c r="J27" s="15">
        <v>23</v>
      </c>
      <c r="K27" s="15">
        <v>0</v>
      </c>
      <c r="L27" s="15">
        <v>0</v>
      </c>
      <c r="M27" s="15">
        <v>47</v>
      </c>
      <c r="N27" s="15">
        <v>0</v>
      </c>
      <c r="O27" s="15">
        <v>13</v>
      </c>
      <c r="P27" s="15">
        <v>0</v>
      </c>
      <c r="Q27" s="15">
        <v>33</v>
      </c>
      <c r="R27" s="39">
        <v>1</v>
      </c>
    </row>
    <row r="28" spans="1:18" ht="13.5" thickBot="1" x14ac:dyDescent="0.25">
      <c r="A28" s="40" t="s">
        <v>23</v>
      </c>
      <c r="B28" s="41">
        <f t="shared" si="3"/>
        <v>0.26627218934911245</v>
      </c>
      <c r="C28" s="155">
        <f>E28-[1]Switzerland!E28</f>
        <v>-1603</v>
      </c>
      <c r="D28" s="42">
        <f>F28-[1]Switzerland!F28</f>
        <v>-1338</v>
      </c>
      <c r="E28" s="158">
        <v>856</v>
      </c>
      <c r="F28" s="42">
        <f>SUM(F23:F27)</f>
        <v>676</v>
      </c>
      <c r="G28" s="42">
        <v>0</v>
      </c>
      <c r="H28" s="42">
        <f>SUM(H23:H27)</f>
        <v>3</v>
      </c>
      <c r="I28" s="42">
        <f>SUM(I23:I27)</f>
        <v>33</v>
      </c>
      <c r="J28" s="42">
        <f>SUM(J23:J27)</f>
        <v>532</v>
      </c>
      <c r="K28" s="42">
        <f>SUM(K23:K27)</f>
        <v>96</v>
      </c>
      <c r="L28" s="42">
        <f>SUM(L23:L27)</f>
        <v>0</v>
      </c>
      <c r="M28" s="42">
        <f t="shared" ref="M28:R28" si="4">SUM(M23:M27)</f>
        <v>1132</v>
      </c>
      <c r="N28" s="42">
        <f t="shared" si="4"/>
        <v>0</v>
      </c>
      <c r="O28" s="42">
        <f t="shared" si="4"/>
        <v>168</v>
      </c>
      <c r="P28" s="42">
        <f t="shared" si="4"/>
        <v>0</v>
      </c>
      <c r="Q28" s="42">
        <f t="shared" si="4"/>
        <v>293</v>
      </c>
      <c r="R28" s="43">
        <f t="shared" si="4"/>
        <v>1</v>
      </c>
    </row>
    <row r="35" spans="17:19" ht="18" x14ac:dyDescent="0.25">
      <c r="Q35" s="5"/>
      <c r="R35" s="1"/>
      <c r="S35" s="1"/>
    </row>
    <row r="36" spans="17:19" ht="18" x14ac:dyDescent="0.25">
      <c r="Q36" s="5"/>
      <c r="R36" s="1"/>
      <c r="S36" s="1"/>
    </row>
    <row r="37" spans="17:19" ht="18" x14ac:dyDescent="0.25">
      <c r="Q37" s="5"/>
      <c r="R37" s="1"/>
      <c r="S37" s="1"/>
    </row>
    <row r="38" spans="17:19" ht="18" x14ac:dyDescent="0.25">
      <c r="Q38" s="5"/>
      <c r="R38" s="1"/>
      <c r="S38" s="1"/>
    </row>
    <row r="39" spans="17:19" ht="18" x14ac:dyDescent="0.25">
      <c r="Q39" s="5"/>
      <c r="R39" s="1"/>
      <c r="S39" s="1"/>
    </row>
    <row r="40" spans="17:19" ht="18" x14ac:dyDescent="0.25">
      <c r="Q40" s="5"/>
      <c r="R40" s="1"/>
      <c r="S40" s="1"/>
    </row>
    <row r="41" spans="17:19" ht="18" x14ac:dyDescent="0.25">
      <c r="Q41" s="5"/>
      <c r="R41" s="1"/>
      <c r="S41" s="1"/>
    </row>
    <row r="42" spans="17:19" ht="18" x14ac:dyDescent="0.25">
      <c r="Q42" s="5"/>
      <c r="R42" s="1"/>
      <c r="S42" s="1"/>
    </row>
    <row r="43" spans="17:19" ht="18" x14ac:dyDescent="0.25">
      <c r="Q43" s="5"/>
      <c r="R43" s="1"/>
      <c r="S43" s="1"/>
    </row>
    <row r="44" spans="17:19" ht="18" x14ac:dyDescent="0.25">
      <c r="Q44" s="5"/>
      <c r="R44" s="1"/>
      <c r="S44" s="1"/>
    </row>
    <row r="45" spans="17:19" ht="18" x14ac:dyDescent="0.25">
      <c r="Q45" s="6"/>
      <c r="R45" s="1"/>
      <c r="S45" s="1"/>
    </row>
    <row r="46" spans="17:19" ht="18.75" x14ac:dyDescent="0.3">
      <c r="Q46" s="7"/>
      <c r="R46" s="2"/>
      <c r="S46" s="2"/>
    </row>
  </sheetData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G25" sqref="G25"/>
    </sheetView>
  </sheetViews>
  <sheetFormatPr defaultColWidth="9.28515625" defaultRowHeight="12.75" x14ac:dyDescent="0.2"/>
  <cols>
    <col min="1" max="1" width="29.28515625" customWidth="1"/>
    <col min="2" max="2" width="10.7109375" customWidth="1"/>
    <col min="3" max="3" width="11.5703125" bestFit="1" customWidth="1"/>
    <col min="4" max="6" width="11.5703125" style="9" customWidth="1"/>
    <col min="7" max="7" width="11.28515625" style="9" customWidth="1"/>
    <col min="8" max="8" width="10.28515625" style="9" bestFit="1" customWidth="1"/>
    <col min="9" max="16" width="10.28515625" style="12" bestFit="1" customWidth="1"/>
    <col min="17" max="18" width="10.28515625" bestFit="1" customWidth="1"/>
    <col min="20" max="20" width="11" customWidth="1"/>
  </cols>
  <sheetData>
    <row r="1" spans="1:18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8" x14ac:dyDescent="0.2">
      <c r="A2" s="27" t="s">
        <v>4</v>
      </c>
      <c r="B2" s="35">
        <f t="shared" ref="B2:B8" si="0">(E2-F2)/F2</f>
        <v>-1</v>
      </c>
      <c r="C2" s="144">
        <f>E2-[1]Netherlands!E2</f>
        <v>-131</v>
      </c>
      <c r="D2" s="13">
        <f>F2-[1]Netherlands!F2</f>
        <v>-653</v>
      </c>
      <c r="E2" s="130"/>
      <c r="F2" s="13">
        <v>260</v>
      </c>
      <c r="G2" s="13">
        <v>0</v>
      </c>
      <c r="H2" s="13">
        <v>351</v>
      </c>
      <c r="I2" s="13">
        <v>867</v>
      </c>
      <c r="J2" s="13">
        <v>806</v>
      </c>
      <c r="K2" s="13">
        <v>1000</v>
      </c>
      <c r="L2" s="13">
        <v>0</v>
      </c>
      <c r="M2" s="13">
        <v>0</v>
      </c>
      <c r="N2" s="13">
        <v>0</v>
      </c>
      <c r="O2" s="13">
        <v>0</v>
      </c>
      <c r="P2" s="13">
        <v>2000</v>
      </c>
      <c r="Q2" s="13">
        <v>0</v>
      </c>
      <c r="R2" s="37">
        <v>1000</v>
      </c>
    </row>
    <row r="3" spans="1:18" x14ac:dyDescent="0.2">
      <c r="A3" s="27" t="s">
        <v>2</v>
      </c>
      <c r="B3" s="35">
        <f t="shared" si="0"/>
        <v>1.2267219118054877</v>
      </c>
      <c r="C3" s="144">
        <f>E3-[1]Netherlands!E3</f>
        <v>-12652</v>
      </c>
      <c r="D3" s="13">
        <f>F3-[1]Netherlands!F3</f>
        <v>-8162.0376999999989</v>
      </c>
      <c r="E3" s="130">
        <v>19506</v>
      </c>
      <c r="F3" s="13">
        <v>8759.9623000000011</v>
      </c>
      <c r="G3" s="13">
        <v>5127.21</v>
      </c>
      <c r="H3" s="13">
        <v>17500</v>
      </c>
      <c r="I3" s="13">
        <v>19264</v>
      </c>
      <c r="J3" s="13">
        <v>23869</v>
      </c>
      <c r="K3" s="13">
        <v>19000</v>
      </c>
      <c r="L3" s="13">
        <v>9000</v>
      </c>
      <c r="M3" s="13">
        <v>21000</v>
      </c>
      <c r="N3" s="13">
        <v>12000</v>
      </c>
      <c r="O3" s="13">
        <v>21000</v>
      </c>
      <c r="P3" s="13">
        <v>20000</v>
      </c>
      <c r="Q3" s="13">
        <v>17000</v>
      </c>
      <c r="R3" s="37">
        <v>19000</v>
      </c>
    </row>
    <row r="4" spans="1:18" x14ac:dyDescent="0.2">
      <c r="A4" s="27" t="s">
        <v>3</v>
      </c>
      <c r="B4" s="35">
        <f t="shared" si="0"/>
        <v>-0.28719799207867325</v>
      </c>
      <c r="C4" s="144">
        <f>E4-[1]Netherlands!E4</f>
        <v>-757</v>
      </c>
      <c r="D4" s="13">
        <f>F4-[1]Netherlands!F4</f>
        <v>-933.56899999999996</v>
      </c>
      <c r="E4" s="130">
        <v>2550</v>
      </c>
      <c r="F4" s="13">
        <v>3577.431</v>
      </c>
      <c r="G4" s="13">
        <v>4072.252</v>
      </c>
      <c r="H4" s="13">
        <v>5529</v>
      </c>
      <c r="I4" s="13">
        <v>5923</v>
      </c>
      <c r="J4" s="13">
        <v>6319</v>
      </c>
      <c r="K4" s="13">
        <v>7000</v>
      </c>
      <c r="L4" s="13">
        <v>7000</v>
      </c>
      <c r="M4" s="13">
        <v>7000</v>
      </c>
      <c r="N4" s="13">
        <v>6000</v>
      </c>
      <c r="O4" s="13">
        <v>8000</v>
      </c>
      <c r="P4" s="13">
        <v>10000</v>
      </c>
      <c r="Q4" s="13">
        <v>8000</v>
      </c>
      <c r="R4" s="37">
        <v>9000</v>
      </c>
    </row>
    <row r="5" spans="1:18" x14ac:dyDescent="0.2">
      <c r="A5" s="29" t="s">
        <v>108</v>
      </c>
      <c r="B5" s="35">
        <f t="shared" si="0"/>
        <v>1.0252524558649516E-2</v>
      </c>
      <c r="C5" s="144">
        <f>E5-[1]Netherlands!E5</f>
        <v>-3949</v>
      </c>
      <c r="D5" s="13">
        <f>F5-[1]Netherlands!F5</f>
        <v>-4662.8732000000018</v>
      </c>
      <c r="E5" s="130">
        <v>27972</v>
      </c>
      <c r="F5" s="13">
        <v>27688.126799999998</v>
      </c>
      <c r="G5" s="13">
        <v>21547.937000000002</v>
      </c>
      <c r="H5" s="100">
        <v>39900</v>
      </c>
      <c r="I5" s="100">
        <v>37161</v>
      </c>
      <c r="J5" s="100">
        <v>41193</v>
      </c>
      <c r="K5" s="100">
        <v>38000</v>
      </c>
      <c r="L5" s="100">
        <v>32000</v>
      </c>
      <c r="M5" s="100">
        <v>56000</v>
      </c>
      <c r="N5" s="100">
        <v>32000</v>
      </c>
      <c r="O5" s="100">
        <v>57000</v>
      </c>
      <c r="P5" s="100">
        <v>56000</v>
      </c>
      <c r="Q5" s="13">
        <v>47000</v>
      </c>
      <c r="R5" s="37">
        <v>47000</v>
      </c>
    </row>
    <row r="6" spans="1:18" x14ac:dyDescent="0.2">
      <c r="A6" s="29" t="s">
        <v>136</v>
      </c>
      <c r="B6" s="35">
        <f t="shared" si="0"/>
        <v>-0.13781221329747592</v>
      </c>
      <c r="C6" s="144">
        <f>E6-[1]Netherlands!E6</f>
        <v>-4149</v>
      </c>
      <c r="D6" s="13">
        <f>F6-[1]Netherlands!F6</f>
        <v>-3715.5328000000009</v>
      </c>
      <c r="E6" s="130">
        <v>14092</v>
      </c>
      <c r="F6" s="13">
        <v>16344.467199999999</v>
      </c>
      <c r="G6" s="13">
        <v>4179.29</v>
      </c>
      <c r="H6" s="100">
        <v>17732</v>
      </c>
      <c r="I6" s="100">
        <v>11737</v>
      </c>
      <c r="J6" s="100">
        <v>12206</v>
      </c>
      <c r="K6" s="100">
        <v>8000</v>
      </c>
      <c r="L6" s="100"/>
      <c r="M6" s="100"/>
      <c r="N6" s="100"/>
      <c r="O6" s="100"/>
      <c r="P6" s="100"/>
      <c r="Q6" s="13"/>
      <c r="R6" s="37"/>
    </row>
    <row r="7" spans="1:18" ht="13.5" thickBot="1" x14ac:dyDescent="0.25">
      <c r="A7" s="83" t="s">
        <v>59</v>
      </c>
      <c r="B7" s="36">
        <f t="shared" si="0"/>
        <v>-7.1631073679400747E-2</v>
      </c>
      <c r="C7" s="145">
        <f>E7-[1]Netherlands!E7</f>
        <v>-1155</v>
      </c>
      <c r="D7" s="15">
        <f>F7-[1]Netherlands!F7</f>
        <v>-1304.22189999995</v>
      </c>
      <c r="E7" s="131">
        <v>2330</v>
      </c>
      <c r="F7" s="15">
        <v>2509.77810000005</v>
      </c>
      <c r="G7" s="15">
        <v>2392.2689999999998</v>
      </c>
      <c r="H7" s="101">
        <v>2500</v>
      </c>
      <c r="I7" s="101">
        <v>1821</v>
      </c>
      <c r="J7" s="101">
        <v>2266</v>
      </c>
      <c r="K7" s="101">
        <v>4000</v>
      </c>
      <c r="L7" s="101">
        <v>7000</v>
      </c>
      <c r="M7" s="101">
        <v>11000</v>
      </c>
      <c r="N7" s="101">
        <v>8000</v>
      </c>
      <c r="O7" s="101">
        <v>8000</v>
      </c>
      <c r="P7" s="101">
        <v>1000</v>
      </c>
      <c r="Q7" s="15">
        <v>0</v>
      </c>
      <c r="R7" s="39">
        <v>2000</v>
      </c>
    </row>
    <row r="8" spans="1:18" ht="13.5" thickBot="1" x14ac:dyDescent="0.25">
      <c r="A8" s="45" t="s">
        <v>23</v>
      </c>
      <c r="B8" s="41">
        <f t="shared" si="0"/>
        <v>0.12360946227223192</v>
      </c>
      <c r="C8" s="155">
        <f>E8-[1]Netherlands!E8</f>
        <v>-22793</v>
      </c>
      <c r="D8" s="42">
        <f>F8-[1]Netherlands!F8</f>
        <v>-19431.234599999952</v>
      </c>
      <c r="E8" s="123">
        <f>SUM(E2:E7)</f>
        <v>66450</v>
      </c>
      <c r="F8" s="42">
        <f>SUM(F2:F7)</f>
        <v>59139.765400000048</v>
      </c>
      <c r="G8" s="42">
        <v>37318.957999999999</v>
      </c>
      <c r="H8" s="42">
        <v>83512</v>
      </c>
      <c r="I8" s="42">
        <v>76773</v>
      </c>
      <c r="J8" s="42">
        <v>86659</v>
      </c>
      <c r="K8" s="42">
        <f t="shared" ref="K8:R8" si="1">SUM(K2:K7)</f>
        <v>77000</v>
      </c>
      <c r="L8" s="42">
        <f t="shared" si="1"/>
        <v>55000</v>
      </c>
      <c r="M8" s="42">
        <f t="shared" si="1"/>
        <v>95000</v>
      </c>
      <c r="N8" s="42">
        <f t="shared" si="1"/>
        <v>58000</v>
      </c>
      <c r="O8" s="42">
        <f t="shared" si="1"/>
        <v>94000</v>
      </c>
      <c r="P8" s="42">
        <f t="shared" si="1"/>
        <v>89000</v>
      </c>
      <c r="Q8" s="42">
        <f t="shared" si="1"/>
        <v>72000</v>
      </c>
      <c r="R8" s="43">
        <f t="shared" si="1"/>
        <v>78000</v>
      </c>
    </row>
    <row r="9" spans="1:18" s="9" customFormat="1" x14ac:dyDescent="0.2">
      <c r="B9" s="44"/>
      <c r="C9" s="44"/>
      <c r="D9" s="44"/>
      <c r="E9" s="44"/>
      <c r="F9" s="44"/>
      <c r="G9" s="44"/>
      <c r="H9" s="44"/>
      <c r="I9" s="12"/>
      <c r="J9" s="12"/>
      <c r="K9" s="12"/>
      <c r="L9" s="12"/>
      <c r="M9" s="12"/>
      <c r="N9" s="12"/>
      <c r="O9" s="12"/>
      <c r="P9" s="12"/>
    </row>
    <row r="10" spans="1:18" s="9" customFormat="1" ht="13.5" thickBot="1" x14ac:dyDescent="0.25">
      <c r="B10" s="44"/>
      <c r="C10" s="44"/>
      <c r="D10" s="44"/>
      <c r="E10" s="44"/>
      <c r="F10" s="44"/>
      <c r="G10" s="44"/>
      <c r="H10" s="44"/>
      <c r="I10" s="12"/>
      <c r="J10" s="12"/>
      <c r="K10" s="12"/>
      <c r="L10" s="12"/>
      <c r="M10" s="12"/>
      <c r="N10" s="12"/>
      <c r="O10" s="12"/>
      <c r="P10" s="12"/>
    </row>
    <row r="11" spans="1:18" s="16" customFormat="1" ht="13.5" thickBot="1" x14ac:dyDescent="0.25">
      <c r="A11" s="31" t="s">
        <v>25</v>
      </c>
      <c r="B11" s="32" t="s">
        <v>176</v>
      </c>
      <c r="C11" s="62" t="s">
        <v>177</v>
      </c>
      <c r="D11" s="99" t="s">
        <v>174</v>
      </c>
      <c r="E11" s="129">
        <v>43952</v>
      </c>
      <c r="F11" s="137">
        <v>43586</v>
      </c>
      <c r="G11" s="137">
        <v>43221</v>
      </c>
      <c r="H11" s="33">
        <v>42856</v>
      </c>
      <c r="I11" s="33">
        <v>42491</v>
      </c>
      <c r="J11" s="33">
        <v>42125</v>
      </c>
      <c r="K11" s="33">
        <v>41760</v>
      </c>
      <c r="L11" s="33">
        <v>41395</v>
      </c>
      <c r="M11" s="33">
        <v>41030</v>
      </c>
      <c r="N11" s="33">
        <v>40664</v>
      </c>
      <c r="O11" s="33">
        <v>40299</v>
      </c>
      <c r="P11" s="33">
        <v>39934</v>
      </c>
      <c r="Q11" s="33">
        <v>39569</v>
      </c>
      <c r="R11" s="34">
        <v>39203</v>
      </c>
    </row>
    <row r="12" spans="1:18" x14ac:dyDescent="0.2">
      <c r="A12" s="27" t="s">
        <v>7</v>
      </c>
      <c r="B12" s="35">
        <f>(E12-F12)/F12</f>
        <v>-0.1365385435405804</v>
      </c>
      <c r="C12" s="144">
        <f>E12-[1]Netherlands!E12</f>
        <v>-30003</v>
      </c>
      <c r="D12" s="13">
        <f>F12-[1]Netherlands!F12</f>
        <v>-35726.579280000005</v>
      </c>
      <c r="E12" s="130">
        <v>58790</v>
      </c>
      <c r="F12" s="13">
        <v>68086.420719999995</v>
      </c>
      <c r="G12" s="13">
        <v>61290.519</v>
      </c>
      <c r="H12" s="13">
        <v>69781</v>
      </c>
      <c r="I12" s="13">
        <v>62952</v>
      </c>
      <c r="J12" s="13">
        <v>53848</v>
      </c>
      <c r="K12" s="13">
        <v>45000</v>
      </c>
      <c r="L12" s="13">
        <v>25000</v>
      </c>
      <c r="M12" s="13">
        <v>46000</v>
      </c>
      <c r="N12" s="13">
        <v>39000</v>
      </c>
      <c r="O12" s="13">
        <v>43000</v>
      </c>
      <c r="P12" s="13">
        <v>12000</v>
      </c>
      <c r="Q12" s="13">
        <v>23000</v>
      </c>
      <c r="R12" s="37">
        <v>34000</v>
      </c>
    </row>
    <row r="13" spans="1:18" x14ac:dyDescent="0.2">
      <c r="A13" s="27" t="s">
        <v>101</v>
      </c>
      <c r="B13" s="35"/>
      <c r="C13" s="144">
        <f>E13-[1]Netherlands!E13</f>
        <v>0</v>
      </c>
      <c r="D13" s="13">
        <f>F13-[1]Netherlands!F13</f>
        <v>0</v>
      </c>
      <c r="E13" s="130"/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/>
      <c r="M13" s="13"/>
      <c r="N13" s="13"/>
      <c r="O13" s="13"/>
      <c r="P13" s="13"/>
      <c r="Q13" s="13"/>
      <c r="R13" s="37"/>
    </row>
    <row r="14" spans="1:18" ht="13.5" thickBot="1" x14ac:dyDescent="0.25">
      <c r="A14" s="38" t="s">
        <v>6</v>
      </c>
      <c r="B14" s="36">
        <f>(E14-F14)/F14</f>
        <v>-0.31146852532184371</v>
      </c>
      <c r="C14" s="145">
        <f>E14-[1]Netherlands!E14</f>
        <v>-1662</v>
      </c>
      <c r="D14" s="15">
        <f>F14-[1]Netherlands!F14</f>
        <v>-2585.2979999999998</v>
      </c>
      <c r="E14" s="131">
        <v>846</v>
      </c>
      <c r="F14" s="15">
        <v>1228.702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/>
      <c r="M14" s="15"/>
      <c r="N14" s="15"/>
      <c r="O14" s="15"/>
      <c r="P14" s="15"/>
      <c r="Q14" s="15"/>
      <c r="R14" s="39"/>
    </row>
    <row r="15" spans="1:18" ht="13.5" thickBot="1" x14ac:dyDescent="0.25">
      <c r="A15" s="40" t="s">
        <v>23</v>
      </c>
      <c r="B15" s="41">
        <f>(E15-F15)/F15</f>
        <v>-0.13963940825870039</v>
      </c>
      <c r="C15" s="155">
        <f>E15-[1]Netherlands!E15</f>
        <v>-31665</v>
      </c>
      <c r="D15" s="42">
        <f>F15-[1]Netherlands!F15</f>
        <v>-38311.877280000001</v>
      </c>
      <c r="E15" s="123">
        <f>SUM(E12:E14)</f>
        <v>59636</v>
      </c>
      <c r="F15" s="42">
        <f>SUM(F12:F14)</f>
        <v>69315.122719999999</v>
      </c>
      <c r="G15" s="42">
        <v>61290.519</v>
      </c>
      <c r="H15" s="42">
        <v>69781</v>
      </c>
      <c r="I15" s="42">
        <v>62952</v>
      </c>
      <c r="J15" s="42">
        <v>53848</v>
      </c>
      <c r="K15" s="42">
        <f>SUM(K12:K14)</f>
        <v>45000</v>
      </c>
      <c r="L15" s="42">
        <f>SUM(L12:L14)</f>
        <v>25000</v>
      </c>
      <c r="M15" s="42">
        <f t="shared" ref="M15:R15" si="2">SUM(M12:M14)</f>
        <v>46000</v>
      </c>
      <c r="N15" s="42">
        <f t="shared" si="2"/>
        <v>39000</v>
      </c>
      <c r="O15" s="42">
        <f t="shared" si="2"/>
        <v>43000</v>
      </c>
      <c r="P15" s="42">
        <f t="shared" si="2"/>
        <v>12000</v>
      </c>
      <c r="Q15" s="42">
        <f t="shared" si="2"/>
        <v>23000</v>
      </c>
      <c r="R15" s="43">
        <f t="shared" si="2"/>
        <v>34000</v>
      </c>
    </row>
    <row r="22" spans="17:19" ht="18" x14ac:dyDescent="0.25">
      <c r="Q22" s="5"/>
      <c r="R22" s="1"/>
      <c r="S22" s="1"/>
    </row>
    <row r="23" spans="17:19" ht="18" x14ac:dyDescent="0.25">
      <c r="Q23" s="5"/>
      <c r="R23" s="1"/>
      <c r="S23" s="1"/>
    </row>
    <row r="24" spans="17:19" ht="18" x14ac:dyDescent="0.25">
      <c r="Q24" s="5"/>
      <c r="R24" s="1"/>
      <c r="S24" s="1"/>
    </row>
    <row r="25" spans="17:19" ht="18" x14ac:dyDescent="0.25">
      <c r="Q25" s="5"/>
      <c r="R25" s="1"/>
      <c r="S25" s="1"/>
    </row>
    <row r="26" spans="17:19" ht="18" x14ac:dyDescent="0.25">
      <c r="Q26" s="5"/>
      <c r="R26" s="1"/>
      <c r="S26" s="1"/>
    </row>
    <row r="27" spans="17:19" ht="18" x14ac:dyDescent="0.25">
      <c r="Q27" s="5"/>
      <c r="R27" s="1"/>
      <c r="S27" s="1"/>
    </row>
    <row r="28" spans="17:19" ht="18" x14ac:dyDescent="0.25">
      <c r="Q28" s="5"/>
      <c r="R28" s="1"/>
      <c r="S28" s="1"/>
    </row>
    <row r="29" spans="17:19" ht="18" x14ac:dyDescent="0.25">
      <c r="Q29" s="5"/>
      <c r="R29" s="1"/>
      <c r="S29" s="1"/>
    </row>
    <row r="30" spans="17:19" ht="18" x14ac:dyDescent="0.25">
      <c r="Q30" s="5"/>
      <c r="R30" s="1"/>
      <c r="S30" s="1"/>
    </row>
    <row r="31" spans="17:19" ht="18" x14ac:dyDescent="0.25">
      <c r="Q31" s="5"/>
      <c r="R31" s="1"/>
      <c r="S31" s="1"/>
    </row>
    <row r="32" spans="17:19" ht="18" x14ac:dyDescent="0.25">
      <c r="Q32" s="6"/>
      <c r="R32" s="1"/>
      <c r="S32" s="1"/>
    </row>
    <row r="33" spans="17:19" ht="18.75" x14ac:dyDescent="0.3">
      <c r="Q33" s="7"/>
      <c r="R33" s="2"/>
      <c r="S33" s="2"/>
    </row>
  </sheetData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workbookViewId="0">
      <selection activeCell="G32" sqref="G32"/>
    </sheetView>
  </sheetViews>
  <sheetFormatPr defaultColWidth="9.28515625" defaultRowHeight="12.75" x14ac:dyDescent="0.2"/>
  <cols>
    <col min="1" max="1" width="24.7109375" customWidth="1"/>
    <col min="2" max="2" width="10.7109375" customWidth="1"/>
    <col min="3" max="3" width="11.5703125" bestFit="1" customWidth="1"/>
    <col min="4" max="7" width="11.5703125" style="9" customWidth="1"/>
    <col min="8" max="16" width="10.28515625" style="9" bestFit="1" customWidth="1"/>
    <col min="17" max="18" width="10.28515625" bestFit="1" customWidth="1"/>
  </cols>
  <sheetData>
    <row r="1" spans="1:19" ht="13.5" thickBot="1" x14ac:dyDescent="0.25">
      <c r="A1" s="52" t="s">
        <v>92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9" x14ac:dyDescent="0.2">
      <c r="A2" s="53" t="s">
        <v>11</v>
      </c>
      <c r="B2" s="60">
        <f t="shared" ref="B2:B12" si="0">(E2-F2)/F2</f>
        <v>0.52411388727484021</v>
      </c>
      <c r="C2" s="147">
        <f>E2-[1]UK!E2</f>
        <v>-2652</v>
      </c>
      <c r="D2" s="86">
        <f>F2-[1]UK!F2</f>
        <v>-3367</v>
      </c>
      <c r="E2" s="56">
        <v>2623</v>
      </c>
      <c r="F2" s="86">
        <v>1721</v>
      </c>
      <c r="G2" s="86">
        <v>375</v>
      </c>
      <c r="H2" s="86"/>
      <c r="I2" s="86">
        <v>800</v>
      </c>
      <c r="J2" s="86">
        <v>100</v>
      </c>
      <c r="K2" s="86">
        <v>1000</v>
      </c>
      <c r="L2" s="86">
        <v>0</v>
      </c>
      <c r="M2" s="86">
        <v>800</v>
      </c>
      <c r="N2" s="86">
        <v>0</v>
      </c>
      <c r="O2" s="86">
        <v>200</v>
      </c>
      <c r="P2" s="86">
        <v>0</v>
      </c>
      <c r="Q2" s="51">
        <v>400</v>
      </c>
      <c r="R2" s="78"/>
    </row>
    <row r="3" spans="1:19" x14ac:dyDescent="0.2">
      <c r="A3" s="53" t="s">
        <v>36</v>
      </c>
      <c r="B3" s="60">
        <f t="shared" si="0"/>
        <v>-0.42146938775510207</v>
      </c>
      <c r="C3" s="147">
        <f>E3-[1]UK!E3</f>
        <v>-4593</v>
      </c>
      <c r="D3" s="86">
        <f>F3-[1]UK!F3</f>
        <v>-7550</v>
      </c>
      <c r="E3" s="56">
        <v>7087</v>
      </c>
      <c r="F3" s="86">
        <v>12250</v>
      </c>
      <c r="G3" s="86">
        <v>11000</v>
      </c>
      <c r="H3" s="86"/>
      <c r="I3" s="86">
        <v>9000</v>
      </c>
      <c r="J3" s="86">
        <v>19500</v>
      </c>
      <c r="K3" s="86">
        <v>20000</v>
      </c>
      <c r="L3" s="86">
        <v>7000</v>
      </c>
      <c r="M3" s="86">
        <v>16000</v>
      </c>
      <c r="N3" s="86">
        <v>16000</v>
      </c>
      <c r="O3" s="86">
        <v>18000</v>
      </c>
      <c r="P3" s="86">
        <v>20000</v>
      </c>
      <c r="Q3" s="51">
        <v>11000</v>
      </c>
      <c r="R3" s="78">
        <v>20000</v>
      </c>
    </row>
    <row r="4" spans="1:19" x14ac:dyDescent="0.2">
      <c r="A4" s="53" t="s">
        <v>29</v>
      </c>
      <c r="B4" s="60">
        <f t="shared" si="0"/>
        <v>-0.5719557195571956</v>
      </c>
      <c r="C4" s="147">
        <f>E4-[1]UK!E4</f>
        <v>-480</v>
      </c>
      <c r="D4" s="86">
        <f>F4-[1]UK!F4</f>
        <v>-1043</v>
      </c>
      <c r="E4" s="56">
        <v>116</v>
      </c>
      <c r="F4" s="86">
        <v>271</v>
      </c>
      <c r="G4" s="86">
        <v>0</v>
      </c>
      <c r="H4" s="86"/>
      <c r="I4" s="86">
        <v>850</v>
      </c>
      <c r="J4" s="86">
        <v>100</v>
      </c>
      <c r="K4" s="86">
        <v>0</v>
      </c>
      <c r="L4" s="86">
        <v>0</v>
      </c>
      <c r="M4" s="86">
        <v>0</v>
      </c>
      <c r="N4" s="86">
        <v>0</v>
      </c>
      <c r="O4" s="86">
        <v>50</v>
      </c>
      <c r="P4" s="86"/>
      <c r="Q4" s="51"/>
      <c r="R4" s="78"/>
    </row>
    <row r="5" spans="1:19" x14ac:dyDescent="0.2">
      <c r="A5" s="53" t="s">
        <v>5</v>
      </c>
      <c r="B5" s="60">
        <f t="shared" si="0"/>
        <v>-1</v>
      </c>
      <c r="C5" s="147">
        <f>E5-[1]UK!E5</f>
        <v>-128</v>
      </c>
      <c r="D5" s="86">
        <f>F5-[1]UK!F5</f>
        <v>-301</v>
      </c>
      <c r="E5" s="56"/>
      <c r="F5" s="86">
        <v>15</v>
      </c>
      <c r="G5" s="86">
        <v>0</v>
      </c>
      <c r="H5" s="86"/>
      <c r="I5" s="86">
        <v>0</v>
      </c>
      <c r="J5" s="86">
        <v>0</v>
      </c>
      <c r="K5" s="86">
        <v>0</v>
      </c>
      <c r="L5" s="86">
        <v>0</v>
      </c>
      <c r="M5" s="86">
        <v>0</v>
      </c>
      <c r="N5" s="86">
        <v>0</v>
      </c>
      <c r="O5" s="86">
        <v>0</v>
      </c>
      <c r="P5" s="86"/>
      <c r="Q5" s="51"/>
      <c r="R5" s="78"/>
    </row>
    <row r="6" spans="1:19" x14ac:dyDescent="0.2">
      <c r="A6" s="53" t="s">
        <v>9</v>
      </c>
      <c r="B6" s="60">
        <f t="shared" si="0"/>
        <v>0.57059415911379663</v>
      </c>
      <c r="C6" s="147">
        <f>E6-[1]UK!E6</f>
        <v>-4292</v>
      </c>
      <c r="D6" s="86">
        <f>F6-[1]UK!F6</f>
        <v>-5920</v>
      </c>
      <c r="E6" s="56">
        <v>7798</v>
      </c>
      <c r="F6" s="86">
        <v>4965</v>
      </c>
      <c r="G6" s="86">
        <v>2243</v>
      </c>
      <c r="H6" s="86"/>
      <c r="I6" s="86">
        <v>2500</v>
      </c>
      <c r="J6" s="86">
        <v>0</v>
      </c>
      <c r="K6" s="86">
        <v>1500</v>
      </c>
      <c r="L6" s="86">
        <v>0</v>
      </c>
      <c r="M6" s="86">
        <v>200</v>
      </c>
      <c r="N6" s="86">
        <v>0</v>
      </c>
      <c r="O6" s="86">
        <v>150</v>
      </c>
      <c r="P6" s="86"/>
      <c r="Q6" s="51"/>
      <c r="R6" s="78"/>
    </row>
    <row r="7" spans="1:19" x14ac:dyDescent="0.2">
      <c r="A7" s="53" t="s">
        <v>27</v>
      </c>
      <c r="B7" s="60">
        <f t="shared" si="0"/>
        <v>-1</v>
      </c>
      <c r="C7" s="147">
        <f>E7-[1]UK!E7</f>
        <v>0</v>
      </c>
      <c r="D7" s="86">
        <f>F7-[1]UK!F7</f>
        <v>398</v>
      </c>
      <c r="E7" s="56"/>
      <c r="F7" s="86">
        <v>482</v>
      </c>
      <c r="G7" s="86">
        <v>0</v>
      </c>
      <c r="H7" s="86"/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/>
      <c r="Q7" s="51"/>
      <c r="R7" s="78"/>
      <c r="S7" s="1"/>
    </row>
    <row r="8" spans="1:19" x14ac:dyDescent="0.2">
      <c r="A8" s="53" t="s">
        <v>26</v>
      </c>
      <c r="B8" s="60"/>
      <c r="C8" s="147">
        <f>E8-[1]UK!E8</f>
        <v>0</v>
      </c>
      <c r="D8" s="86">
        <f>F8-[1]UK!F8</f>
        <v>0</v>
      </c>
      <c r="E8" s="56"/>
      <c r="F8" s="86"/>
      <c r="G8" s="86">
        <v>0</v>
      </c>
      <c r="H8" s="86"/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/>
      <c r="Q8" s="51"/>
      <c r="R8" s="78"/>
    </row>
    <row r="9" spans="1:19" x14ac:dyDescent="0.2">
      <c r="A9" s="53" t="s">
        <v>35</v>
      </c>
      <c r="B9" s="60"/>
      <c r="C9" s="147">
        <f>E9-[1]UK!E9</f>
        <v>0</v>
      </c>
      <c r="D9" s="86">
        <f>F9-[1]UK!F9</f>
        <v>0</v>
      </c>
      <c r="E9" s="56"/>
      <c r="F9" s="86"/>
      <c r="G9" s="86">
        <v>0</v>
      </c>
      <c r="H9" s="86"/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/>
      <c r="Q9" s="51"/>
      <c r="R9" s="78"/>
    </row>
    <row r="10" spans="1:19" x14ac:dyDescent="0.2">
      <c r="A10" s="53" t="s">
        <v>136</v>
      </c>
      <c r="B10" s="60">
        <f t="shared" si="0"/>
        <v>-2.8673835125448029E-3</v>
      </c>
      <c r="C10" s="147">
        <f>E10-[1]UK!E10</f>
        <v>384</v>
      </c>
      <c r="D10" s="86">
        <f>F10-[1]UK!F10</f>
        <v>-1337</v>
      </c>
      <c r="E10" s="56">
        <v>1391</v>
      </c>
      <c r="F10" s="86">
        <v>1395</v>
      </c>
      <c r="G10" s="86">
        <v>155</v>
      </c>
      <c r="H10" s="86"/>
      <c r="I10" s="86">
        <v>700</v>
      </c>
      <c r="J10" s="86">
        <v>600</v>
      </c>
      <c r="K10" s="86">
        <v>500</v>
      </c>
      <c r="L10" s="86">
        <v>0</v>
      </c>
      <c r="M10" s="86">
        <v>300</v>
      </c>
      <c r="N10" s="86">
        <v>0</v>
      </c>
      <c r="O10" s="86">
        <v>100</v>
      </c>
      <c r="P10" s="86"/>
      <c r="Q10" s="51"/>
      <c r="R10" s="78"/>
    </row>
    <row r="11" spans="1:19" ht="13.5" thickBot="1" x14ac:dyDescent="0.25">
      <c r="A11" s="54" t="s">
        <v>6</v>
      </c>
      <c r="B11" s="61">
        <f t="shared" si="0"/>
        <v>2.106299212598425</v>
      </c>
      <c r="C11" s="148">
        <f>E11-[1]UK!E11</f>
        <v>-670</v>
      </c>
      <c r="D11" s="86">
        <f>F11-[1]UK!F11</f>
        <v>-720</v>
      </c>
      <c r="E11" s="56">
        <v>789</v>
      </c>
      <c r="F11" s="86">
        <v>254</v>
      </c>
      <c r="G11" s="86">
        <v>0</v>
      </c>
      <c r="H11" s="87"/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50</v>
      </c>
      <c r="P11" s="86"/>
      <c r="Q11" s="51"/>
      <c r="R11" s="79"/>
    </row>
    <row r="12" spans="1:19" ht="13.5" thickBot="1" x14ac:dyDescent="0.25">
      <c r="A12" s="55" t="s">
        <v>93</v>
      </c>
      <c r="B12" s="97">
        <f t="shared" si="0"/>
        <v>-7.2542499882920428E-2</v>
      </c>
      <c r="C12" s="149">
        <f>E12-[1]UK!E12</f>
        <v>-12431</v>
      </c>
      <c r="D12" s="110">
        <f>F12-[1]UK!F12</f>
        <v>-19840</v>
      </c>
      <c r="E12" s="58">
        <f>SUM(E2:E11)</f>
        <v>19804</v>
      </c>
      <c r="F12" s="110">
        <f>SUM(F2:F11)</f>
        <v>21353</v>
      </c>
      <c r="G12" s="110">
        <f>SUM(G2:G11)</f>
        <v>13773</v>
      </c>
      <c r="H12" s="110"/>
      <c r="I12" s="110">
        <f>SUM(I2:I11)</f>
        <v>13850</v>
      </c>
      <c r="J12" s="110">
        <f>SUM(J2:J11)</f>
        <v>20300</v>
      </c>
      <c r="K12" s="110">
        <f>SUM(K2:K11)</f>
        <v>23000</v>
      </c>
      <c r="L12" s="110">
        <f>SUM(L2:L11)</f>
        <v>7000</v>
      </c>
      <c r="M12" s="110">
        <f t="shared" ref="M12:R12" si="1">SUM(M2:M11)</f>
        <v>17300</v>
      </c>
      <c r="N12" s="110">
        <f t="shared" si="1"/>
        <v>16000</v>
      </c>
      <c r="O12" s="110">
        <f t="shared" si="1"/>
        <v>18550</v>
      </c>
      <c r="P12" s="110">
        <f t="shared" si="1"/>
        <v>20000</v>
      </c>
      <c r="Q12" s="59">
        <f t="shared" si="1"/>
        <v>11400</v>
      </c>
      <c r="R12" s="43">
        <f t="shared" si="1"/>
        <v>20000</v>
      </c>
    </row>
    <row r="14" spans="1:19" ht="13.5" thickBot="1" x14ac:dyDescent="0.25">
      <c r="B14" s="3"/>
      <c r="C14" s="3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3"/>
      <c r="R14" s="3"/>
    </row>
    <row r="15" spans="1:19" s="65" customFormat="1" ht="13.5" thickBot="1" x14ac:dyDescent="0.25">
      <c r="A15" s="64" t="s">
        <v>92</v>
      </c>
      <c r="B15" s="32" t="s">
        <v>176</v>
      </c>
      <c r="C15" s="62" t="s">
        <v>177</v>
      </c>
      <c r="D15" s="99" t="s">
        <v>174</v>
      </c>
      <c r="E15" s="129">
        <v>43952</v>
      </c>
      <c r="F15" s="137">
        <v>43586</v>
      </c>
      <c r="G15" s="137">
        <v>43221</v>
      </c>
      <c r="H15" s="33">
        <v>42856</v>
      </c>
      <c r="I15" s="33">
        <v>42491</v>
      </c>
      <c r="J15" s="33">
        <v>42125</v>
      </c>
      <c r="K15" s="33">
        <v>41760</v>
      </c>
      <c r="L15" s="33">
        <v>41395</v>
      </c>
      <c r="M15" s="33">
        <v>41030</v>
      </c>
      <c r="N15" s="33">
        <v>40664</v>
      </c>
      <c r="O15" s="33">
        <v>40299</v>
      </c>
      <c r="P15" s="33">
        <v>39934</v>
      </c>
      <c r="Q15" s="33">
        <v>39569</v>
      </c>
      <c r="R15" s="34">
        <v>39203</v>
      </c>
    </row>
    <row r="16" spans="1:19" s="63" customFormat="1" x14ac:dyDescent="0.2">
      <c r="A16" s="66" t="s">
        <v>7</v>
      </c>
      <c r="B16" s="67">
        <f>(E16-F16)/F16</f>
        <v>-1</v>
      </c>
      <c r="C16" s="147">
        <f>E16-[1]UK!E16</f>
        <v>-20</v>
      </c>
      <c r="D16" s="91">
        <f>F16-[1]UK!F16</f>
        <v>-705</v>
      </c>
      <c r="E16" s="68"/>
      <c r="F16" s="91">
        <v>46</v>
      </c>
      <c r="G16" s="91">
        <v>0</v>
      </c>
      <c r="H16" s="91"/>
      <c r="I16" s="91">
        <v>750</v>
      </c>
      <c r="J16" s="91">
        <v>800</v>
      </c>
      <c r="K16" s="91">
        <v>1500</v>
      </c>
      <c r="L16" s="91">
        <v>900</v>
      </c>
      <c r="M16" s="91">
        <v>1300</v>
      </c>
      <c r="N16" s="91">
        <v>1500</v>
      </c>
      <c r="O16" s="91">
        <v>1200</v>
      </c>
      <c r="P16" s="91">
        <v>500</v>
      </c>
      <c r="Q16" s="69">
        <v>300</v>
      </c>
      <c r="R16" s="80">
        <v>0</v>
      </c>
    </row>
    <row r="17" spans="1:18" s="63" customFormat="1" x14ac:dyDescent="0.2">
      <c r="A17" s="66" t="s">
        <v>94</v>
      </c>
      <c r="B17" s="67"/>
      <c r="C17" s="147">
        <f>E17-[1]UK!E17</f>
        <v>0</v>
      </c>
      <c r="D17" s="91">
        <f>F17-[1]UK!F17</f>
        <v>0</v>
      </c>
      <c r="E17" s="68"/>
      <c r="F17" s="91"/>
      <c r="G17" s="91">
        <v>0</v>
      </c>
      <c r="H17" s="91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69">
        <v>0</v>
      </c>
      <c r="R17" s="80">
        <v>0</v>
      </c>
    </row>
    <row r="18" spans="1:18" s="63" customFormat="1" ht="13.5" thickBot="1" x14ac:dyDescent="0.25">
      <c r="A18" s="70" t="s">
        <v>6</v>
      </c>
      <c r="B18" s="71"/>
      <c r="C18" s="148">
        <f>E18-[1]UK!E18</f>
        <v>-30</v>
      </c>
      <c r="D18" s="91">
        <f>F18-[1]UK!F18</f>
        <v>0</v>
      </c>
      <c r="E18" s="68"/>
      <c r="F18" s="91"/>
      <c r="G18" s="91">
        <v>0</v>
      </c>
      <c r="H18" s="92"/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73">
        <v>0</v>
      </c>
      <c r="R18" s="81">
        <v>0</v>
      </c>
    </row>
    <row r="19" spans="1:18" s="63" customFormat="1" ht="13.5" thickBot="1" x14ac:dyDescent="0.25">
      <c r="A19" s="74" t="s">
        <v>93</v>
      </c>
      <c r="B19" s="75">
        <f>(E19-F19)/F19</f>
        <v>-1</v>
      </c>
      <c r="C19" s="149">
        <f>E19-[1]UK!E19</f>
        <v>-50</v>
      </c>
      <c r="D19" s="104">
        <f>F19-[1]UK!F19</f>
        <v>-705</v>
      </c>
      <c r="E19" s="76">
        <f>SUM(E16:E18)</f>
        <v>0</v>
      </c>
      <c r="F19" s="104">
        <f>SUM(F16:F18)</f>
        <v>46</v>
      </c>
      <c r="G19" s="104">
        <v>0</v>
      </c>
      <c r="H19" s="104"/>
      <c r="I19" s="104">
        <f>SUM(I16:I18)</f>
        <v>750</v>
      </c>
      <c r="J19" s="104">
        <v>800</v>
      </c>
      <c r="K19" s="104">
        <f>SUM(K16:K18)</f>
        <v>1500</v>
      </c>
      <c r="L19" s="104">
        <f>SUM(L16:L18)</f>
        <v>900</v>
      </c>
      <c r="M19" s="104">
        <f t="shared" ref="M19:R19" si="2">SUM(M16:M18)</f>
        <v>1300</v>
      </c>
      <c r="N19" s="104">
        <f t="shared" si="2"/>
        <v>1500</v>
      </c>
      <c r="O19" s="104">
        <f t="shared" si="2"/>
        <v>1200</v>
      </c>
      <c r="P19" s="104">
        <f t="shared" si="2"/>
        <v>500</v>
      </c>
      <c r="Q19" s="105">
        <f t="shared" si="2"/>
        <v>300</v>
      </c>
      <c r="R19" s="106">
        <f t="shared" si="2"/>
        <v>0</v>
      </c>
    </row>
    <row r="20" spans="1:18" s="63" customFormat="1" x14ac:dyDescent="0.2">
      <c r="A20" s="63" t="s">
        <v>173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1" spans="1:18" s="63" customFormat="1" x14ac:dyDescent="0.2">
      <c r="A21" s="65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</row>
    <row r="22" spans="1:18" s="63" customFormat="1" x14ac:dyDescent="0.2"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</sheetData>
  <pageMargins left="0.75" right="0.75" top="1" bottom="1" header="0.5" footer="0.5"/>
  <pageSetup paperSize="9" scale="66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9"/>
  <sheetViews>
    <sheetView zoomScale="86" zoomScaleNormal="86" workbookViewId="0">
      <selection activeCell="T28" sqref="T28"/>
    </sheetView>
  </sheetViews>
  <sheetFormatPr defaultColWidth="9.28515625" defaultRowHeight="12.75" x14ac:dyDescent="0.2"/>
  <cols>
    <col min="1" max="1" width="29.28515625" customWidth="1"/>
    <col min="2" max="2" width="10.7109375" customWidth="1"/>
    <col min="3" max="3" width="11.5703125" bestFit="1" customWidth="1"/>
    <col min="4" max="6" width="11.42578125" style="9" customWidth="1"/>
    <col min="7" max="7" width="11.7109375" style="9" customWidth="1"/>
    <col min="8" max="8" width="10.28515625" bestFit="1" customWidth="1"/>
    <col min="9" max="16" width="10.28515625" style="12" bestFit="1" customWidth="1"/>
    <col min="17" max="18" width="10.28515625" bestFit="1" customWidth="1"/>
  </cols>
  <sheetData>
    <row r="1" spans="1:23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23" x14ac:dyDescent="0.2">
      <c r="A2" s="27" t="s">
        <v>11</v>
      </c>
      <c r="B2" s="35">
        <f>(E2-F2)/F2</f>
        <v>0.3836777954425013</v>
      </c>
      <c r="C2" s="144">
        <f>E2-[1]US!E2</f>
        <v>-914</v>
      </c>
      <c r="D2" s="13">
        <f>F2-[1]US!F2</f>
        <v>-2229</v>
      </c>
      <c r="E2" s="130">
        <v>2611</v>
      </c>
      <c r="F2" s="13">
        <v>1887</v>
      </c>
      <c r="G2" s="13">
        <v>1544</v>
      </c>
      <c r="H2" s="13">
        <v>2249</v>
      </c>
      <c r="I2" s="13">
        <v>305</v>
      </c>
      <c r="J2" s="13">
        <v>10233</v>
      </c>
      <c r="K2" s="13">
        <v>591</v>
      </c>
      <c r="L2" s="13">
        <v>3830</v>
      </c>
      <c r="M2" s="13">
        <v>2477</v>
      </c>
      <c r="N2" s="13">
        <v>13453.720508166969</v>
      </c>
      <c r="O2" s="13">
        <v>7984.5735027223227</v>
      </c>
      <c r="P2" s="13">
        <v>13834.845735027224</v>
      </c>
      <c r="Q2" s="13">
        <v>7984.5735027223227</v>
      </c>
      <c r="R2" s="37">
        <v>5602.5408348457349</v>
      </c>
      <c r="V2" s="13"/>
      <c r="W2" s="46"/>
    </row>
    <row r="3" spans="1:23" x14ac:dyDescent="0.2">
      <c r="A3" s="27" t="s">
        <v>33</v>
      </c>
      <c r="B3" s="35">
        <f t="shared" ref="B3:B27" si="0">(E3-F3)/F3</f>
        <v>-0.30620985010706636</v>
      </c>
      <c r="C3" s="144">
        <f>E3-[1]US!E3</f>
        <v>-305</v>
      </c>
      <c r="D3" s="13">
        <f>F3-[1]US!F3</f>
        <v>-1543</v>
      </c>
      <c r="E3" s="130">
        <v>648</v>
      </c>
      <c r="F3" s="13">
        <v>934</v>
      </c>
      <c r="G3" s="13">
        <v>858</v>
      </c>
      <c r="H3" s="13">
        <v>476</v>
      </c>
      <c r="I3" s="13">
        <v>896</v>
      </c>
      <c r="J3" s="13">
        <v>838</v>
      </c>
      <c r="K3" s="13">
        <v>838</v>
      </c>
      <c r="L3" s="13">
        <v>0</v>
      </c>
      <c r="M3" s="13">
        <v>324</v>
      </c>
      <c r="N3" s="13">
        <v>533.57531760435575</v>
      </c>
      <c r="O3" s="13">
        <v>533.57531760435575</v>
      </c>
      <c r="P3" s="13">
        <v>1276.7695099818511</v>
      </c>
      <c r="Q3" s="13">
        <v>686.0254083484574</v>
      </c>
      <c r="R3" s="37">
        <v>343.0127041742287</v>
      </c>
      <c r="V3" s="13"/>
      <c r="W3" s="46"/>
    </row>
    <row r="4" spans="1:23" x14ac:dyDescent="0.2">
      <c r="A4" s="53" t="s">
        <v>178</v>
      </c>
      <c r="B4" s="35"/>
      <c r="C4" s="144">
        <f>E4-[1]US!E4</f>
        <v>0</v>
      </c>
      <c r="D4" s="13">
        <f>F4-[1]US!F4</f>
        <v>0</v>
      </c>
      <c r="E4" s="130">
        <v>0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37"/>
      <c r="V4" s="13"/>
      <c r="W4" s="46"/>
    </row>
    <row r="5" spans="1:23" x14ac:dyDescent="0.2">
      <c r="A5" s="27" t="s">
        <v>49</v>
      </c>
      <c r="B5" s="35">
        <f t="shared" si="0"/>
        <v>-0.14688006482982172</v>
      </c>
      <c r="C5" s="144">
        <f>E5-[1]US!E5</f>
        <v>0</v>
      </c>
      <c r="D5" s="13">
        <f>F5-[1]US!F5</f>
        <v>-7755</v>
      </c>
      <c r="E5" s="130">
        <v>4211</v>
      </c>
      <c r="F5" s="13">
        <v>4936</v>
      </c>
      <c r="G5" s="13">
        <v>5088</v>
      </c>
      <c r="H5" s="13">
        <v>3144</v>
      </c>
      <c r="I5" s="13">
        <v>2477</v>
      </c>
      <c r="J5" s="13">
        <v>4097</v>
      </c>
      <c r="K5" s="13">
        <v>6727</v>
      </c>
      <c r="L5" s="13">
        <v>210</v>
      </c>
      <c r="M5" s="13">
        <v>3849</v>
      </c>
      <c r="N5" s="13">
        <v>2858.4392014519058</v>
      </c>
      <c r="O5" s="13">
        <v>8746.8239564428313</v>
      </c>
      <c r="P5" s="13">
        <v>8232.3049001814888</v>
      </c>
      <c r="Q5" s="13">
        <v>5411.9782214156075</v>
      </c>
      <c r="R5" s="37">
        <v>9756.8058076225043</v>
      </c>
      <c r="V5" s="13"/>
      <c r="W5" s="46"/>
    </row>
    <row r="6" spans="1:23" x14ac:dyDescent="0.2">
      <c r="A6" s="27" t="s">
        <v>12</v>
      </c>
      <c r="B6" s="35">
        <f t="shared" si="0"/>
        <v>0.30191075706088799</v>
      </c>
      <c r="C6" s="144">
        <f>E6-[1]US!E6</f>
        <v>-29880</v>
      </c>
      <c r="D6" s="13">
        <f>F6-[1]US!F6</f>
        <v>-29309</v>
      </c>
      <c r="E6" s="130">
        <v>116853</v>
      </c>
      <c r="F6" s="13">
        <v>89755</v>
      </c>
      <c r="G6" s="13">
        <v>106925</v>
      </c>
      <c r="H6" s="13">
        <v>78150</v>
      </c>
      <c r="I6" s="13">
        <v>58083</v>
      </c>
      <c r="J6" s="13">
        <v>81180</v>
      </c>
      <c r="K6" s="13">
        <v>63572</v>
      </c>
      <c r="L6" s="13">
        <v>96272</v>
      </c>
      <c r="M6" s="13">
        <v>55606</v>
      </c>
      <c r="N6" s="13">
        <v>82208.711433756805</v>
      </c>
      <c r="O6" s="13">
        <v>51852.08711433757</v>
      </c>
      <c r="P6" s="13">
        <v>75138.838475499098</v>
      </c>
      <c r="Q6" s="13">
        <v>41294.91833030853</v>
      </c>
      <c r="R6" s="37">
        <v>41733.212341197825</v>
      </c>
      <c r="V6" s="13"/>
      <c r="W6" s="46"/>
    </row>
    <row r="7" spans="1:23" x14ac:dyDescent="0.2">
      <c r="A7" s="27" t="s">
        <v>9</v>
      </c>
      <c r="B7" s="35">
        <f t="shared" si="0"/>
        <v>0.27081980944403727</v>
      </c>
      <c r="C7" s="144">
        <f>E7-[1]US!E7</f>
        <v>-53033</v>
      </c>
      <c r="D7" s="13">
        <f>F7-[1]US!F7</f>
        <v>-43829</v>
      </c>
      <c r="E7" s="130">
        <v>182064</v>
      </c>
      <c r="F7" s="13">
        <v>143265</v>
      </c>
      <c r="G7" s="13">
        <v>148963</v>
      </c>
      <c r="H7" s="13">
        <v>124094</v>
      </c>
      <c r="I7" s="13">
        <v>80570</v>
      </c>
      <c r="J7" s="13">
        <v>130955</v>
      </c>
      <c r="K7" s="13">
        <v>80227</v>
      </c>
      <c r="L7" s="13">
        <v>94348</v>
      </c>
      <c r="M7" s="13">
        <v>69670</v>
      </c>
      <c r="N7" s="13">
        <v>60179.673321234121</v>
      </c>
      <c r="O7" s="13">
        <v>57264.065335753177</v>
      </c>
      <c r="P7" s="13">
        <v>49584.392014519057</v>
      </c>
      <c r="Q7" s="13">
        <v>31576.225045372052</v>
      </c>
      <c r="R7" s="37">
        <v>25459.165154264974</v>
      </c>
      <c r="V7" s="13"/>
      <c r="W7" s="46"/>
    </row>
    <row r="8" spans="1:23" x14ac:dyDescent="0.2">
      <c r="A8" s="27" t="s">
        <v>3</v>
      </c>
      <c r="B8" s="35">
        <f t="shared" si="0"/>
        <v>1.2248760278701902</v>
      </c>
      <c r="C8" s="144">
        <f>E8-[1]US!E8</f>
        <v>-11949</v>
      </c>
      <c r="D8" s="13">
        <f>F8-[1]US!F8</f>
        <v>-12558</v>
      </c>
      <c r="E8" s="130">
        <v>70889</v>
      </c>
      <c r="F8" s="13">
        <v>31862</v>
      </c>
      <c r="G8" s="13">
        <v>56006</v>
      </c>
      <c r="H8" s="13">
        <v>45983</v>
      </c>
      <c r="I8" s="13">
        <v>60313</v>
      </c>
      <c r="J8" s="13">
        <v>95415</v>
      </c>
      <c r="K8" s="13">
        <v>80246</v>
      </c>
      <c r="L8" s="13">
        <v>85925</v>
      </c>
      <c r="M8" s="13">
        <v>70623</v>
      </c>
      <c r="N8" s="13">
        <v>72909.255898366609</v>
      </c>
      <c r="O8" s="13">
        <v>74624.319419237756</v>
      </c>
      <c r="P8" s="13">
        <v>103380.21778584392</v>
      </c>
      <c r="Q8" s="13">
        <v>76320.326678765879</v>
      </c>
      <c r="R8" s="37">
        <v>56254.083484573501</v>
      </c>
      <c r="V8" s="13"/>
      <c r="W8" s="46"/>
    </row>
    <row r="9" spans="1:23" x14ac:dyDescent="0.2">
      <c r="A9" s="27" t="s">
        <v>17</v>
      </c>
      <c r="B9" s="35">
        <f t="shared" si="0"/>
        <v>0.37912402606524959</v>
      </c>
      <c r="C9" s="144">
        <f>E9-[1]US!E9</f>
        <v>-25478</v>
      </c>
      <c r="D9" s="13">
        <f>F9-[1]US!F9</f>
        <v>-21477</v>
      </c>
      <c r="E9" s="130">
        <v>127620</v>
      </c>
      <c r="F9" s="13">
        <v>92537</v>
      </c>
      <c r="G9" s="13">
        <v>159329</v>
      </c>
      <c r="H9" s="13">
        <v>62886</v>
      </c>
      <c r="I9" s="13">
        <v>115614</v>
      </c>
      <c r="J9" s="13">
        <v>102847</v>
      </c>
      <c r="K9" s="13">
        <v>103094</v>
      </c>
      <c r="L9" s="13">
        <v>78378</v>
      </c>
      <c r="M9" s="13">
        <v>75691</v>
      </c>
      <c r="N9" s="13">
        <v>72528.130671506355</v>
      </c>
      <c r="O9" s="13">
        <v>65896.551724137928</v>
      </c>
      <c r="P9" s="13">
        <v>106333.93829401089</v>
      </c>
      <c r="Q9" s="13">
        <v>61666.061705989108</v>
      </c>
      <c r="R9" s="37">
        <v>77101.633393829397</v>
      </c>
      <c r="V9" s="13"/>
      <c r="W9" s="46"/>
    </row>
    <row r="10" spans="1:23" x14ac:dyDescent="0.2">
      <c r="A10" s="27" t="s">
        <v>162</v>
      </c>
      <c r="B10" s="35">
        <f t="shared" si="0"/>
        <v>0.19341539548854467</v>
      </c>
      <c r="C10" s="144">
        <f>E10-[1]US!E10</f>
        <v>-24888</v>
      </c>
      <c r="D10" s="13">
        <f>F10-[1]US!F10</f>
        <v>-19609</v>
      </c>
      <c r="E10" s="130">
        <v>60789</v>
      </c>
      <c r="F10" s="13">
        <v>50937</v>
      </c>
      <c r="G10" s="13">
        <v>46593</v>
      </c>
      <c r="H10" s="13">
        <v>16274</v>
      </c>
      <c r="I10" s="13">
        <v>20638</v>
      </c>
      <c r="J10" s="13">
        <v>5831</v>
      </c>
      <c r="K10" s="13">
        <v>1353</v>
      </c>
      <c r="L10" s="13">
        <v>57</v>
      </c>
      <c r="M10" s="13"/>
      <c r="N10" s="13"/>
      <c r="O10" s="13"/>
      <c r="P10" s="13"/>
      <c r="Q10" s="13"/>
      <c r="R10" s="37"/>
      <c r="V10" s="13"/>
      <c r="W10" s="46"/>
    </row>
    <row r="11" spans="1:23" x14ac:dyDescent="0.2">
      <c r="A11" s="28" t="s">
        <v>10</v>
      </c>
      <c r="B11" s="35">
        <f t="shared" si="0"/>
        <v>5.352380952380952</v>
      </c>
      <c r="C11" s="144">
        <f>E11-[1]US!E11</f>
        <v>-114</v>
      </c>
      <c r="D11" s="13">
        <f>F11-[1]US!F11</f>
        <v>-648</v>
      </c>
      <c r="E11" s="130">
        <v>1334</v>
      </c>
      <c r="F11" s="13">
        <v>210</v>
      </c>
      <c r="G11" s="13">
        <v>1048</v>
      </c>
      <c r="H11" s="100">
        <v>1753</v>
      </c>
      <c r="I11" s="100">
        <v>896</v>
      </c>
      <c r="J11" s="100">
        <v>2230</v>
      </c>
      <c r="K11" s="100">
        <v>4250</v>
      </c>
      <c r="L11" s="100">
        <v>324</v>
      </c>
      <c r="M11" s="100">
        <v>3068</v>
      </c>
      <c r="N11" s="100">
        <v>133.39382940108894</v>
      </c>
      <c r="O11" s="100">
        <v>2686.9328493647913</v>
      </c>
      <c r="P11" s="100">
        <v>3601.633393829401</v>
      </c>
      <c r="Q11" s="13">
        <v>1905.6261343012704</v>
      </c>
      <c r="R11" s="37">
        <v>1657.8947368421052</v>
      </c>
      <c r="V11" s="13"/>
      <c r="W11" s="46"/>
    </row>
    <row r="12" spans="1:23" x14ac:dyDescent="0.2">
      <c r="A12" s="28" t="s">
        <v>27</v>
      </c>
      <c r="B12" s="35">
        <f t="shared" si="0"/>
        <v>-1</v>
      </c>
      <c r="C12" s="144">
        <f>E12-[1]US!E12</f>
        <v>0</v>
      </c>
      <c r="D12" s="13">
        <f>F12-[1]US!F12</f>
        <v>-2572</v>
      </c>
      <c r="E12" s="130"/>
      <c r="F12" s="13">
        <v>2268</v>
      </c>
      <c r="G12" s="13">
        <v>3506</v>
      </c>
      <c r="H12" s="100">
        <v>4173</v>
      </c>
      <c r="I12" s="100">
        <v>1639</v>
      </c>
      <c r="J12" s="100">
        <v>5164</v>
      </c>
      <c r="K12" s="100">
        <v>4955</v>
      </c>
      <c r="L12" s="100">
        <v>2763</v>
      </c>
      <c r="M12" s="100">
        <v>2973</v>
      </c>
      <c r="N12" s="100">
        <v>3773.1397459165155</v>
      </c>
      <c r="O12" s="100">
        <v>2858.4392014519058</v>
      </c>
      <c r="P12" s="100">
        <v>514.51905626134305</v>
      </c>
      <c r="Q12" s="13">
        <v>514.51905626134305</v>
      </c>
      <c r="R12" s="37">
        <v>1905.6261343012704</v>
      </c>
      <c r="V12" s="13"/>
      <c r="W12" s="46"/>
    </row>
    <row r="13" spans="1:23" x14ac:dyDescent="0.2">
      <c r="A13" s="28" t="s">
        <v>50</v>
      </c>
      <c r="B13" s="35">
        <f t="shared" si="0"/>
        <v>-0.56893004115226342</v>
      </c>
      <c r="C13" s="144">
        <f>E13-[1]US!E13</f>
        <v>-1353</v>
      </c>
      <c r="D13" s="13">
        <f>F13-[1]US!F13</f>
        <v>-724</v>
      </c>
      <c r="E13" s="130">
        <v>419</v>
      </c>
      <c r="F13" s="13">
        <v>972</v>
      </c>
      <c r="G13" s="13">
        <v>0</v>
      </c>
      <c r="H13" s="100">
        <v>172</v>
      </c>
      <c r="I13" s="100">
        <v>210</v>
      </c>
      <c r="J13" s="100">
        <v>896</v>
      </c>
      <c r="K13" s="100">
        <v>877</v>
      </c>
      <c r="L13" s="100">
        <v>0</v>
      </c>
      <c r="M13" s="100">
        <v>1162</v>
      </c>
      <c r="N13" s="100">
        <v>381.12522686025409</v>
      </c>
      <c r="O13" s="100">
        <v>4135.2087114337564</v>
      </c>
      <c r="P13" s="100">
        <v>571.68784029038113</v>
      </c>
      <c r="Q13" s="13">
        <v>876.58802177858445</v>
      </c>
      <c r="R13" s="37">
        <v>590.74410163339383</v>
      </c>
      <c r="V13" s="13"/>
      <c r="W13" s="46"/>
    </row>
    <row r="14" spans="1:23" x14ac:dyDescent="0.2">
      <c r="A14" s="28" t="s">
        <v>51</v>
      </c>
      <c r="B14" s="35">
        <f t="shared" si="0"/>
        <v>-0.11695601096462603</v>
      </c>
      <c r="C14" s="144">
        <f>E14-[1]US!E14</f>
        <v>-3678</v>
      </c>
      <c r="D14" s="13">
        <f>F14-[1]US!F14</f>
        <v>-6707</v>
      </c>
      <c r="E14" s="130">
        <v>6765</v>
      </c>
      <c r="F14" s="13">
        <v>7661</v>
      </c>
      <c r="G14" s="13">
        <v>7375</v>
      </c>
      <c r="H14" s="100">
        <v>5240</v>
      </c>
      <c r="I14" s="100">
        <v>8270</v>
      </c>
      <c r="J14" s="100">
        <v>11720</v>
      </c>
      <c r="K14" s="100">
        <v>9681</v>
      </c>
      <c r="L14" s="100">
        <v>400</v>
      </c>
      <c r="M14" s="100">
        <v>6193</v>
      </c>
      <c r="N14" s="100">
        <v>2744.1016333938296</v>
      </c>
      <c r="O14" s="100">
        <v>9566.2431941923769</v>
      </c>
      <c r="P14" s="100">
        <v>8956.4428312159707</v>
      </c>
      <c r="Q14" s="13">
        <v>5373.8656987295826</v>
      </c>
      <c r="R14" s="37">
        <v>6326.6787658802177</v>
      </c>
      <c r="V14" s="13"/>
      <c r="W14" s="46"/>
    </row>
    <row r="15" spans="1:23" x14ac:dyDescent="0.2">
      <c r="A15" s="28" t="s">
        <v>52</v>
      </c>
      <c r="B15" s="35">
        <f t="shared" si="0"/>
        <v>-0.38124999999999998</v>
      </c>
      <c r="C15" s="144">
        <f>E15-[1]US!E15</f>
        <v>-115</v>
      </c>
      <c r="D15" s="13">
        <f>F15-[1]US!F15</f>
        <v>-191</v>
      </c>
      <c r="E15" s="130">
        <v>495</v>
      </c>
      <c r="F15" s="13">
        <v>800</v>
      </c>
      <c r="G15" s="13">
        <v>1372</v>
      </c>
      <c r="H15" s="100">
        <v>915</v>
      </c>
      <c r="I15" s="100">
        <v>419</v>
      </c>
      <c r="J15" s="100">
        <v>667</v>
      </c>
      <c r="K15" s="100">
        <v>1124</v>
      </c>
      <c r="L15" s="100">
        <v>495</v>
      </c>
      <c r="M15" s="100">
        <v>1505</v>
      </c>
      <c r="N15" s="100">
        <v>1696.0072595281306</v>
      </c>
      <c r="O15" s="100">
        <v>2039.0199637023593</v>
      </c>
      <c r="P15" s="100">
        <v>2248.6388384754991</v>
      </c>
      <c r="Q15" s="13">
        <v>2858.4392014519058</v>
      </c>
      <c r="R15" s="37">
        <v>1657.8947368421052</v>
      </c>
      <c r="V15" s="13"/>
      <c r="W15" s="46"/>
    </row>
    <row r="16" spans="1:23" x14ac:dyDescent="0.2">
      <c r="A16" s="28" t="s">
        <v>53</v>
      </c>
      <c r="B16" s="35">
        <f t="shared" si="0"/>
        <v>-0.14232209737827714</v>
      </c>
      <c r="C16" s="144">
        <f>E16-[1]US!E16</f>
        <v>-57</v>
      </c>
      <c r="D16" s="13">
        <f>F16-[1]US!F16</f>
        <v>-57</v>
      </c>
      <c r="E16" s="130">
        <v>229</v>
      </c>
      <c r="F16" s="13">
        <v>267</v>
      </c>
      <c r="G16" s="13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495</v>
      </c>
      <c r="N16" s="100">
        <v>1009.9818511796733</v>
      </c>
      <c r="O16" s="100">
        <v>400.18148820326678</v>
      </c>
      <c r="P16" s="100">
        <v>724.13793103448279</v>
      </c>
      <c r="Q16" s="13">
        <v>0</v>
      </c>
      <c r="R16" s="37">
        <v>57.168784029038115</v>
      </c>
      <c r="V16" s="13"/>
      <c r="W16" s="46"/>
    </row>
    <row r="17" spans="1:23" x14ac:dyDescent="0.2">
      <c r="A17" s="28" t="s">
        <v>54</v>
      </c>
      <c r="B17" s="35"/>
      <c r="C17" s="144">
        <f>E17-[1]US!E17</f>
        <v>0</v>
      </c>
      <c r="D17" s="13">
        <f>F17-[1]US!F17</f>
        <v>0</v>
      </c>
      <c r="E17" s="130"/>
      <c r="F17" s="13"/>
      <c r="G17" s="13">
        <v>0</v>
      </c>
      <c r="H17" s="100">
        <v>0</v>
      </c>
      <c r="I17" s="100">
        <v>0</v>
      </c>
      <c r="J17" s="100">
        <v>0</v>
      </c>
      <c r="K17" s="100">
        <v>248</v>
      </c>
      <c r="L17" s="100">
        <v>19</v>
      </c>
      <c r="M17" s="100">
        <v>0</v>
      </c>
      <c r="N17" s="100">
        <v>0</v>
      </c>
      <c r="O17" s="100">
        <v>19.056261343012704</v>
      </c>
      <c r="P17" s="100">
        <v>0</v>
      </c>
      <c r="Q17" s="13">
        <v>19.056261343012704</v>
      </c>
      <c r="R17" s="37">
        <v>19.056261343012704</v>
      </c>
      <c r="V17" s="13"/>
      <c r="W17" s="46"/>
    </row>
    <row r="18" spans="1:23" x14ac:dyDescent="0.2">
      <c r="A18" s="29" t="s">
        <v>22</v>
      </c>
      <c r="B18" s="35">
        <f t="shared" si="0"/>
        <v>6.2168505045763905E-2</v>
      </c>
      <c r="C18" s="144">
        <f>E18-[1]US!E18</f>
        <v>-10805</v>
      </c>
      <c r="D18" s="13">
        <f>F18-[1]US!F18</f>
        <v>-14178</v>
      </c>
      <c r="E18" s="130">
        <v>45259</v>
      </c>
      <c r="F18" s="13">
        <v>42610</v>
      </c>
      <c r="G18" s="13">
        <v>36436</v>
      </c>
      <c r="H18" s="13">
        <v>44401</v>
      </c>
      <c r="I18" s="13">
        <v>30071</v>
      </c>
      <c r="J18" s="13">
        <v>25993</v>
      </c>
      <c r="K18" s="13">
        <v>17379</v>
      </c>
      <c r="L18" s="13">
        <v>16026</v>
      </c>
      <c r="M18" s="13">
        <v>11053</v>
      </c>
      <c r="N18" s="13">
        <v>14139.745916515427</v>
      </c>
      <c r="O18" s="13">
        <v>17226.860254083484</v>
      </c>
      <c r="P18" s="13">
        <v>11357.531760435571</v>
      </c>
      <c r="Q18" s="13">
        <v>11910.16333938294</v>
      </c>
      <c r="R18" s="37">
        <v>4001.8148820326678</v>
      </c>
      <c r="V18" s="13"/>
      <c r="W18" s="46"/>
    </row>
    <row r="19" spans="1:23" x14ac:dyDescent="0.2">
      <c r="A19" s="28" t="s">
        <v>19</v>
      </c>
      <c r="B19" s="35">
        <f t="shared" si="0"/>
        <v>-6.2584308297258931E-2</v>
      </c>
      <c r="C19" s="144">
        <f>E19-[1]US!E19</f>
        <v>-47755</v>
      </c>
      <c r="D19" s="13">
        <f>F19-[1]US!F19</f>
        <v>-59150</v>
      </c>
      <c r="E19" s="130">
        <v>212649</v>
      </c>
      <c r="F19" s="13">
        <v>226846</v>
      </c>
      <c r="G19" s="13">
        <v>228828</v>
      </c>
      <c r="H19" s="100">
        <v>307778</v>
      </c>
      <c r="I19" s="100">
        <v>219414</v>
      </c>
      <c r="J19" s="100">
        <v>343146</v>
      </c>
      <c r="K19" s="100">
        <v>259680</v>
      </c>
      <c r="L19" s="100">
        <v>308692</v>
      </c>
      <c r="M19" s="100">
        <v>261947</v>
      </c>
      <c r="N19" s="100">
        <v>236907.44101633393</v>
      </c>
      <c r="O19" s="100">
        <v>271475.49909255898</v>
      </c>
      <c r="P19" s="100">
        <v>270865.6987295826</v>
      </c>
      <c r="Q19" s="13">
        <v>212686.93284936479</v>
      </c>
      <c r="R19" s="37">
        <v>248627.04174228676</v>
      </c>
      <c r="V19" s="13"/>
      <c r="W19" s="46"/>
    </row>
    <row r="20" spans="1:23" x14ac:dyDescent="0.2">
      <c r="A20" s="28" t="s">
        <v>55</v>
      </c>
      <c r="B20" s="35">
        <f t="shared" si="0"/>
        <v>5.1690633501748934E-2</v>
      </c>
      <c r="C20" s="144">
        <f>E20-[1]US!E20</f>
        <v>-95</v>
      </c>
      <c r="D20" s="13">
        <f>F20-[1]US!F20</f>
        <v>-933</v>
      </c>
      <c r="E20" s="130">
        <v>2706</v>
      </c>
      <c r="F20" s="13">
        <v>2573</v>
      </c>
      <c r="G20" s="13">
        <v>2839</v>
      </c>
      <c r="H20" s="100">
        <v>3506</v>
      </c>
      <c r="I20" s="100">
        <v>2496</v>
      </c>
      <c r="J20" s="100">
        <v>3392</v>
      </c>
      <c r="K20" s="100">
        <v>2420</v>
      </c>
      <c r="L20" s="100">
        <v>1372</v>
      </c>
      <c r="M20" s="100">
        <v>3525</v>
      </c>
      <c r="N20" s="100">
        <v>1200.5444646098003</v>
      </c>
      <c r="O20" s="100">
        <v>2458.257713248639</v>
      </c>
      <c r="P20" s="100">
        <v>3258.6206896551726</v>
      </c>
      <c r="Q20" s="13">
        <v>4725.9528130671506</v>
      </c>
      <c r="R20" s="37">
        <v>2858.4392014519058</v>
      </c>
      <c r="V20" s="13"/>
      <c r="W20" s="46"/>
    </row>
    <row r="21" spans="1:23" x14ac:dyDescent="0.2">
      <c r="A21" s="28" t="s">
        <v>56</v>
      </c>
      <c r="B21" s="35">
        <f t="shared" si="0"/>
        <v>1.763157894736842</v>
      </c>
      <c r="C21" s="144">
        <f>E21-[1]US!E21</f>
        <v>-362</v>
      </c>
      <c r="D21" s="13">
        <f>F21-[1]US!F21</f>
        <v>-191</v>
      </c>
      <c r="E21" s="130">
        <v>210</v>
      </c>
      <c r="F21" s="13">
        <v>76</v>
      </c>
      <c r="G21" s="13">
        <v>324</v>
      </c>
      <c r="H21" s="100">
        <v>343</v>
      </c>
      <c r="I21" s="100">
        <v>610</v>
      </c>
      <c r="J21" s="100">
        <v>762</v>
      </c>
      <c r="K21" s="100">
        <v>2249</v>
      </c>
      <c r="L21" s="100">
        <v>19</v>
      </c>
      <c r="M21" s="100">
        <v>2153</v>
      </c>
      <c r="N21" s="100">
        <v>666.9691470054446</v>
      </c>
      <c r="O21" s="100">
        <v>2077.1324863883847</v>
      </c>
      <c r="P21" s="100">
        <v>2267.6950998185116</v>
      </c>
      <c r="Q21" s="13">
        <v>666.9691470054446</v>
      </c>
      <c r="R21" s="37">
        <v>2458.257713248639</v>
      </c>
      <c r="V21" s="13"/>
      <c r="W21" s="46"/>
    </row>
    <row r="22" spans="1:23" x14ac:dyDescent="0.2">
      <c r="A22" s="28" t="s">
        <v>35</v>
      </c>
      <c r="B22" s="35">
        <f t="shared" si="0"/>
        <v>-0.84155844155844151</v>
      </c>
      <c r="C22" s="144">
        <f>E22-[1]US!E22</f>
        <v>-305</v>
      </c>
      <c r="D22" s="13">
        <f>F22-[1]US!F22</f>
        <v>-114</v>
      </c>
      <c r="E22" s="130">
        <v>305</v>
      </c>
      <c r="F22" s="13">
        <v>1925</v>
      </c>
      <c r="G22" s="13">
        <v>1753</v>
      </c>
      <c r="H22" s="100">
        <v>648</v>
      </c>
      <c r="I22" s="100">
        <v>1982</v>
      </c>
      <c r="J22" s="100">
        <v>2420</v>
      </c>
      <c r="K22" s="100">
        <v>1772</v>
      </c>
      <c r="L22" s="100">
        <v>0</v>
      </c>
      <c r="M22" s="100">
        <v>1944</v>
      </c>
      <c r="N22" s="100">
        <v>1200.5444646098003</v>
      </c>
      <c r="O22" s="100">
        <v>3087.1143375680581</v>
      </c>
      <c r="P22" s="100">
        <v>2096.1887477313976</v>
      </c>
      <c r="Q22" s="13">
        <v>876.58802177858445</v>
      </c>
      <c r="R22" s="37">
        <v>1562.6134301270417</v>
      </c>
      <c r="V22" s="13"/>
      <c r="W22" s="46"/>
    </row>
    <row r="23" spans="1:23" x14ac:dyDescent="0.2">
      <c r="A23" s="28" t="s">
        <v>21</v>
      </c>
      <c r="B23" s="35">
        <f t="shared" si="0"/>
        <v>-0.70157068062827221</v>
      </c>
      <c r="C23" s="144">
        <f>E23-[1]US!E23</f>
        <v>-19</v>
      </c>
      <c r="D23" s="13">
        <f>F23-[1]US!F23</f>
        <v>-19</v>
      </c>
      <c r="E23" s="130">
        <v>57</v>
      </c>
      <c r="F23" s="13">
        <v>191</v>
      </c>
      <c r="G23" s="13">
        <v>133</v>
      </c>
      <c r="H23" s="100">
        <v>76</v>
      </c>
      <c r="I23" s="100">
        <v>191</v>
      </c>
      <c r="J23" s="100">
        <v>343</v>
      </c>
      <c r="K23" s="100">
        <v>19</v>
      </c>
      <c r="L23" s="100">
        <v>19</v>
      </c>
      <c r="M23" s="100">
        <v>172</v>
      </c>
      <c r="N23" s="100">
        <v>76.225045372050815</v>
      </c>
      <c r="O23" s="100">
        <v>285.84392014519057</v>
      </c>
      <c r="P23" s="100">
        <v>285.84392014519057</v>
      </c>
      <c r="Q23" s="13">
        <v>609.80036297640652</v>
      </c>
      <c r="R23" s="37">
        <v>323.95644283121595</v>
      </c>
      <c r="V23" s="13"/>
      <c r="W23" s="46"/>
    </row>
    <row r="24" spans="1:23" x14ac:dyDescent="0.2">
      <c r="A24" s="28" t="s">
        <v>57</v>
      </c>
      <c r="B24" s="35"/>
      <c r="C24" s="144">
        <f>E24-[1]US!E24</f>
        <v>0</v>
      </c>
      <c r="D24" s="13">
        <f>F24-[1]US!F24</f>
        <v>0</v>
      </c>
      <c r="E24" s="130"/>
      <c r="F24" s="13"/>
      <c r="G24" s="13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38.112522686025407</v>
      </c>
      <c r="Q24" s="13">
        <v>0</v>
      </c>
      <c r="R24" s="37">
        <v>19.056261343012704</v>
      </c>
      <c r="V24" s="13"/>
      <c r="W24" s="46"/>
    </row>
    <row r="25" spans="1:23" x14ac:dyDescent="0.2">
      <c r="A25" s="28" t="s">
        <v>58</v>
      </c>
      <c r="B25" s="35">
        <f t="shared" si="0"/>
        <v>-0.534965034965035</v>
      </c>
      <c r="C25" s="144">
        <f>E25-[1]US!E25</f>
        <v>-19</v>
      </c>
      <c r="D25" s="13">
        <f>F25-[1]US!F25</f>
        <v>-76</v>
      </c>
      <c r="E25" s="130">
        <v>133</v>
      </c>
      <c r="F25" s="13">
        <v>286</v>
      </c>
      <c r="G25" s="13">
        <v>0</v>
      </c>
      <c r="H25" s="100">
        <v>38</v>
      </c>
      <c r="I25" s="100">
        <v>38</v>
      </c>
      <c r="J25" s="100">
        <v>38</v>
      </c>
      <c r="K25" s="100">
        <v>0</v>
      </c>
      <c r="L25" s="100">
        <v>0</v>
      </c>
      <c r="M25" s="100">
        <v>152</v>
      </c>
      <c r="N25" s="100">
        <v>0</v>
      </c>
      <c r="O25" s="100">
        <v>0</v>
      </c>
      <c r="P25" s="100">
        <v>57.168784029038115</v>
      </c>
      <c r="Q25" s="13">
        <v>0</v>
      </c>
      <c r="R25" s="37">
        <v>19.056261343012704</v>
      </c>
      <c r="V25" s="13"/>
      <c r="W25" s="46"/>
    </row>
    <row r="26" spans="1:23" ht="13.5" thickBot="1" x14ac:dyDescent="0.25">
      <c r="A26" s="28" t="s">
        <v>59</v>
      </c>
      <c r="B26" s="35">
        <f t="shared" si="0"/>
        <v>0.68600325863076028</v>
      </c>
      <c r="C26" s="144">
        <f>E26-[1]US!E26</f>
        <v>-17112</v>
      </c>
      <c r="D26" s="13">
        <f>F26-[1]US!F26</f>
        <v>-16179</v>
      </c>
      <c r="E26" s="56">
        <f>12291+42553</f>
        <v>54844</v>
      </c>
      <c r="F26" s="13">
        <f>24430+8099</f>
        <v>32529</v>
      </c>
      <c r="G26" s="13">
        <v>32224</v>
      </c>
      <c r="H26" s="100">
        <v>34416</v>
      </c>
      <c r="I26" s="100">
        <v>31348</v>
      </c>
      <c r="J26" s="100">
        <v>27155</v>
      </c>
      <c r="K26" s="100">
        <v>24564</v>
      </c>
      <c r="L26" s="100">
        <v>13130</v>
      </c>
      <c r="M26" s="100">
        <v>5774</v>
      </c>
      <c r="N26" s="100">
        <v>8308.5299455535387</v>
      </c>
      <c r="O26" s="100">
        <v>8956.4428312159707</v>
      </c>
      <c r="P26" s="100">
        <v>12386.569872958258</v>
      </c>
      <c r="Q26" s="13">
        <v>5488.2032667876592</v>
      </c>
      <c r="R26" s="37">
        <v>8232.3049001814888</v>
      </c>
      <c r="V26" s="13"/>
      <c r="W26" s="46"/>
    </row>
    <row r="27" spans="1:23" ht="13.5" thickBot="1" x14ac:dyDescent="0.25">
      <c r="A27" s="152" t="s">
        <v>23</v>
      </c>
      <c r="B27" s="153">
        <f t="shared" si="0"/>
        <v>0.21182820704258107</v>
      </c>
      <c r="C27" s="155">
        <f>E27-[1]US!E27</f>
        <v>-228236</v>
      </c>
      <c r="D27" s="110">
        <f>F27-[1]US!F27</f>
        <v>-240048</v>
      </c>
      <c r="E27" s="58">
        <f>SUM(E2:E26)</f>
        <v>891090</v>
      </c>
      <c r="F27" s="110">
        <f>SUM(F2:F26)</f>
        <v>735327</v>
      </c>
      <c r="G27" s="110">
        <f t="shared" ref="G27:L27" si="1">SUM(G2:G26)</f>
        <v>841144</v>
      </c>
      <c r="H27" s="110">
        <f t="shared" si="1"/>
        <v>736715</v>
      </c>
      <c r="I27" s="110">
        <f t="shared" si="1"/>
        <v>636480</v>
      </c>
      <c r="J27" s="110">
        <f t="shared" si="1"/>
        <v>855322</v>
      </c>
      <c r="K27" s="110">
        <f t="shared" si="1"/>
        <v>665866</v>
      </c>
      <c r="L27" s="110">
        <f t="shared" si="1"/>
        <v>702279</v>
      </c>
      <c r="M27" s="110">
        <f t="shared" ref="M27:R27" si="2">SUM(M2:M26)</f>
        <v>580356</v>
      </c>
      <c r="N27" s="110">
        <f t="shared" si="2"/>
        <v>576909.25589836668</v>
      </c>
      <c r="O27" s="110">
        <f t="shared" si="2"/>
        <v>594174.22867513599</v>
      </c>
      <c r="P27" s="110">
        <f t="shared" si="2"/>
        <v>677011.79673321231</v>
      </c>
      <c r="Q27" s="110">
        <f t="shared" si="2"/>
        <v>473452.81306715054</v>
      </c>
      <c r="R27" s="154">
        <f t="shared" si="2"/>
        <v>496568.05807622499</v>
      </c>
    </row>
    <row r="28" spans="1:23" s="9" customFormat="1" x14ac:dyDescent="0.2">
      <c r="B28" s="44"/>
      <c r="C28" s="44"/>
      <c r="D28" s="44"/>
      <c r="E28" s="44"/>
      <c r="F28" s="44"/>
      <c r="G28" s="44"/>
      <c r="H28" s="44"/>
      <c r="I28" s="12"/>
      <c r="J28" s="12"/>
      <c r="K28" s="12"/>
      <c r="L28" s="12"/>
      <c r="M28" s="12"/>
      <c r="N28" s="12"/>
      <c r="O28" s="12"/>
      <c r="P28" s="12"/>
    </row>
    <row r="29" spans="1:23" s="9" customFormat="1" ht="13.5" thickBot="1" x14ac:dyDescent="0.25">
      <c r="B29" s="44"/>
      <c r="C29" s="44"/>
      <c r="D29" s="44"/>
      <c r="E29" s="44"/>
      <c r="F29" s="44"/>
      <c r="G29" s="44"/>
      <c r="H29" s="44"/>
      <c r="I29" s="12"/>
      <c r="J29" s="12"/>
      <c r="K29" s="12"/>
      <c r="L29" s="12"/>
      <c r="M29" s="12"/>
      <c r="N29" s="12"/>
      <c r="O29" s="12"/>
      <c r="P29" s="12"/>
    </row>
    <row r="30" spans="1:23" s="16" customFormat="1" ht="13.5" thickBot="1" x14ac:dyDescent="0.25">
      <c r="A30" s="31" t="s">
        <v>25</v>
      </c>
      <c r="B30" s="32" t="s">
        <v>176</v>
      </c>
      <c r="C30" s="62" t="s">
        <v>177</v>
      </c>
      <c r="D30" s="99" t="s">
        <v>174</v>
      </c>
      <c r="E30" s="129">
        <v>43952</v>
      </c>
      <c r="F30" s="137">
        <v>43586</v>
      </c>
      <c r="G30" s="137">
        <v>43221</v>
      </c>
      <c r="H30" s="33">
        <v>42856</v>
      </c>
      <c r="I30" s="33">
        <v>42491</v>
      </c>
      <c r="J30" s="33">
        <v>42125</v>
      </c>
      <c r="K30" s="33">
        <v>41760</v>
      </c>
      <c r="L30" s="33">
        <v>41395</v>
      </c>
      <c r="M30" s="33">
        <v>41030</v>
      </c>
      <c r="N30" s="33">
        <v>40664</v>
      </c>
      <c r="O30" s="33">
        <v>40299</v>
      </c>
      <c r="P30" s="33">
        <v>39934</v>
      </c>
      <c r="Q30" s="33">
        <v>39569</v>
      </c>
      <c r="R30" s="34">
        <v>39203</v>
      </c>
    </row>
    <row r="31" spans="1:23" x14ac:dyDescent="0.2">
      <c r="A31" s="27" t="s">
        <v>41</v>
      </c>
      <c r="B31" s="35">
        <f>(E31-F31)/F31</f>
        <v>6.8958966565349541E-2</v>
      </c>
      <c r="C31" s="144">
        <f>E31-[1]US!E31</f>
        <v>-14277</v>
      </c>
      <c r="D31" s="13">
        <f>F31-[1]US!F31</f>
        <v>-18407</v>
      </c>
      <c r="E31" s="130">
        <v>39389</v>
      </c>
      <c r="F31" s="13">
        <v>36848</v>
      </c>
      <c r="G31" s="13">
        <v>28982</v>
      </c>
      <c r="H31" s="13">
        <v>31410</v>
      </c>
      <c r="I31" s="13">
        <v>22946.42</v>
      </c>
      <c r="J31" s="13">
        <v>47444.1</v>
      </c>
      <c r="K31" s="13">
        <v>37411.26</v>
      </c>
      <c r="L31" s="13">
        <v>32805.58</v>
      </c>
      <c r="M31" s="13">
        <v>45217.34</v>
      </c>
      <c r="N31" s="13">
        <v>44904.46</v>
      </c>
      <c r="O31" s="13">
        <v>34129.78</v>
      </c>
      <c r="P31" s="13">
        <v>26999.98</v>
      </c>
      <c r="Q31" s="13">
        <v>30892.32</v>
      </c>
      <c r="R31" s="37">
        <v>20243</v>
      </c>
    </row>
    <row r="32" spans="1:23" x14ac:dyDescent="0.2">
      <c r="A32" s="27" t="s">
        <v>42</v>
      </c>
      <c r="B32" s="35">
        <f>(E32-F32)/F32</f>
        <v>-0.76107516177202583</v>
      </c>
      <c r="C32" s="144">
        <f>E32-[1]US!E32</f>
        <v>-2404</v>
      </c>
      <c r="D32" s="13">
        <f>F32-[1]US!F32</f>
        <v>-6068</v>
      </c>
      <c r="E32" s="130">
        <v>960</v>
      </c>
      <c r="F32" s="13">
        <v>4018</v>
      </c>
      <c r="G32" s="13">
        <v>32</v>
      </c>
      <c r="H32" s="13">
        <v>2668</v>
      </c>
      <c r="I32" s="13">
        <v>1993.86</v>
      </c>
      <c r="J32" s="13">
        <v>2025.52</v>
      </c>
      <c r="K32" s="13">
        <v>1082.96</v>
      </c>
      <c r="L32" s="13">
        <v>142.74</v>
      </c>
      <c r="M32" s="13">
        <v>3486.34</v>
      </c>
      <c r="N32" s="13">
        <v>171.24</v>
      </c>
      <c r="O32" s="13">
        <v>324.72000000000003</v>
      </c>
      <c r="P32" s="13">
        <v>774.94</v>
      </c>
      <c r="Q32" s="13">
        <v>291.18</v>
      </c>
      <c r="R32" s="37">
        <v>141</v>
      </c>
    </row>
    <row r="33" spans="1:19" x14ac:dyDescent="0.2">
      <c r="A33" s="27" t="s">
        <v>43</v>
      </c>
      <c r="B33" s="35">
        <f>(E33-F33)/F33</f>
        <v>0.20809248554913296</v>
      </c>
      <c r="C33" s="144">
        <f>E33-[1]US!E33</f>
        <v>-1400</v>
      </c>
      <c r="D33" s="13">
        <f>F33-[1]US!F33</f>
        <v>-1791</v>
      </c>
      <c r="E33" s="130">
        <v>4389</v>
      </c>
      <c r="F33" s="13">
        <v>3633</v>
      </c>
      <c r="G33" s="13">
        <v>2153</v>
      </c>
      <c r="H33" s="13">
        <v>3287</v>
      </c>
      <c r="I33" s="13">
        <v>490</v>
      </c>
      <c r="J33" s="13">
        <v>4551.22</v>
      </c>
      <c r="K33" s="13">
        <v>2980.02</v>
      </c>
      <c r="L33" s="13">
        <v>1276.1400000000001</v>
      </c>
      <c r="M33" s="13">
        <v>3065.98</v>
      </c>
      <c r="N33" s="13">
        <v>2199.3000000000002</v>
      </c>
      <c r="O33" s="13">
        <v>1007.08</v>
      </c>
      <c r="P33" s="13">
        <v>2649.24</v>
      </c>
      <c r="Q33" s="13">
        <v>1802.92</v>
      </c>
      <c r="R33" s="37">
        <v>1098</v>
      </c>
    </row>
    <row r="34" spans="1:19" x14ac:dyDescent="0.2">
      <c r="A34" s="27" t="s">
        <v>44</v>
      </c>
      <c r="B34" s="35"/>
      <c r="C34" s="144">
        <f>E34-[1]US!E34</f>
        <v>-30</v>
      </c>
      <c r="D34" s="13">
        <f>F34-[1]US!F34</f>
        <v>-6</v>
      </c>
      <c r="E34" s="130">
        <v>0</v>
      </c>
      <c r="F34" s="13">
        <v>0</v>
      </c>
      <c r="G34" s="13">
        <v>0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107.98</v>
      </c>
      <c r="N34" s="13">
        <v>0</v>
      </c>
      <c r="O34" s="13">
        <v>0</v>
      </c>
      <c r="P34" s="13">
        <v>20.96</v>
      </c>
      <c r="Q34" s="13">
        <v>0.2</v>
      </c>
      <c r="R34" s="37">
        <v>0</v>
      </c>
    </row>
    <row r="35" spans="1:19" x14ac:dyDescent="0.2">
      <c r="A35" s="27" t="s">
        <v>155</v>
      </c>
      <c r="B35" s="35"/>
      <c r="C35" s="144">
        <f>E35-[1]US!E35</f>
        <v>0</v>
      </c>
      <c r="D35" s="13">
        <f>F35-[1]US!F35</f>
        <v>-4</v>
      </c>
      <c r="E35" s="130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/>
      <c r="P35" s="13"/>
      <c r="Q35" s="13"/>
      <c r="R35" s="37"/>
    </row>
    <row r="36" spans="1:19" x14ac:dyDescent="0.2">
      <c r="A36" s="27" t="s">
        <v>45</v>
      </c>
      <c r="B36" s="35"/>
      <c r="C36" s="144">
        <f>E36-[1]US!E36</f>
        <v>-17</v>
      </c>
      <c r="D36" s="13">
        <f>F36-[1]US!F36</f>
        <v>-1</v>
      </c>
      <c r="E36" s="130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1.04</v>
      </c>
      <c r="N36" s="13">
        <v>5.6</v>
      </c>
      <c r="O36" s="13">
        <v>0</v>
      </c>
      <c r="P36" s="13">
        <v>0</v>
      </c>
      <c r="Q36" s="13">
        <v>0</v>
      </c>
      <c r="R36" s="37">
        <v>0</v>
      </c>
    </row>
    <row r="37" spans="1:19" x14ac:dyDescent="0.2">
      <c r="A37" s="27" t="s">
        <v>171</v>
      </c>
      <c r="B37" s="35"/>
      <c r="C37" s="144">
        <f>E37-[1]US!E37</f>
        <v>0</v>
      </c>
      <c r="D37" s="13">
        <f>F37-[1]US!F37</f>
        <v>-2</v>
      </c>
      <c r="E37" s="130">
        <v>0</v>
      </c>
      <c r="F37" s="13">
        <v>0</v>
      </c>
      <c r="G37" s="13">
        <v>0</v>
      </c>
      <c r="H37" s="13">
        <v>2</v>
      </c>
      <c r="I37" s="13"/>
      <c r="J37" s="13"/>
      <c r="K37" s="13"/>
      <c r="L37" s="13"/>
      <c r="M37" s="13"/>
      <c r="N37" s="13"/>
      <c r="O37" s="13"/>
      <c r="P37" s="13"/>
      <c r="Q37" s="13"/>
      <c r="R37" s="37"/>
    </row>
    <row r="38" spans="1:19" x14ac:dyDescent="0.2">
      <c r="A38" s="27" t="s">
        <v>46</v>
      </c>
      <c r="B38" s="35"/>
      <c r="C38" s="144">
        <f>E38-[1]US!E38</f>
        <v>0</v>
      </c>
      <c r="D38" s="13">
        <f>F38-[1]US!F38</f>
        <v>0</v>
      </c>
      <c r="E38" s="130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37">
        <v>0</v>
      </c>
    </row>
    <row r="39" spans="1:19" x14ac:dyDescent="0.2">
      <c r="A39" s="27" t="s">
        <v>48</v>
      </c>
      <c r="B39" s="35"/>
      <c r="C39" s="144">
        <f>E39-[1]US!E39</f>
        <v>0</v>
      </c>
      <c r="D39" s="13">
        <f>F39-[1]US!F39</f>
        <v>-13</v>
      </c>
      <c r="E39" s="130">
        <v>0</v>
      </c>
      <c r="F39" s="13">
        <v>0</v>
      </c>
      <c r="G39" s="13">
        <v>0</v>
      </c>
      <c r="H39" s="13">
        <v>1</v>
      </c>
      <c r="I39" s="13">
        <v>28</v>
      </c>
      <c r="J39" s="13">
        <v>16.36</v>
      </c>
      <c r="K39" s="13">
        <v>4.76</v>
      </c>
      <c r="L39" s="13">
        <v>1.22</v>
      </c>
      <c r="M39" s="13">
        <v>0</v>
      </c>
      <c r="N39" s="13">
        <v>0.08</v>
      </c>
      <c r="O39" s="13">
        <v>1</v>
      </c>
      <c r="P39" s="13">
        <v>48.94</v>
      </c>
      <c r="Q39" s="13">
        <v>18.82</v>
      </c>
      <c r="R39" s="37">
        <v>110</v>
      </c>
    </row>
    <row r="40" spans="1:19" ht="13.5" thickBot="1" x14ac:dyDescent="0.25">
      <c r="A40" s="38" t="s">
        <v>47</v>
      </c>
      <c r="B40" s="36"/>
      <c r="C40" s="145">
        <f>E40-[1]US!E40</f>
        <v>0</v>
      </c>
      <c r="D40" s="15">
        <f>F40-[1]US!F40</f>
        <v>0</v>
      </c>
      <c r="E40" s="131">
        <v>0</v>
      </c>
      <c r="F40" s="15">
        <v>0</v>
      </c>
      <c r="G40" s="15">
        <v>0</v>
      </c>
      <c r="H40" s="101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/>
      <c r="O40" s="15"/>
      <c r="P40" s="15"/>
      <c r="Q40" s="15">
        <v>0</v>
      </c>
      <c r="R40" s="39">
        <v>0</v>
      </c>
    </row>
    <row r="41" spans="1:19" ht="13.5" thickBot="1" x14ac:dyDescent="0.25">
      <c r="A41" s="40" t="s">
        <v>23</v>
      </c>
      <c r="B41" s="41">
        <f>(E41-F41)/F41</f>
        <v>5.3709072113980088E-3</v>
      </c>
      <c r="C41" s="155">
        <f>E41-[1]US!E41</f>
        <v>-18128</v>
      </c>
      <c r="D41" s="42">
        <f>F41-[1]US!F41</f>
        <v>-26292</v>
      </c>
      <c r="E41" s="123">
        <f>SUM(E31:E40)</f>
        <v>44738</v>
      </c>
      <c r="F41" s="42">
        <f t="shared" ref="F41:K41" si="3">SUM(F31:F40)</f>
        <v>44499</v>
      </c>
      <c r="G41" s="42">
        <f t="shared" si="3"/>
        <v>31167</v>
      </c>
      <c r="H41" s="42">
        <f t="shared" si="3"/>
        <v>37370</v>
      </c>
      <c r="I41" s="42">
        <f t="shared" si="3"/>
        <v>25458.28</v>
      </c>
      <c r="J41" s="42">
        <f t="shared" si="3"/>
        <v>54037.2</v>
      </c>
      <c r="K41" s="42">
        <f t="shared" si="3"/>
        <v>41479</v>
      </c>
      <c r="L41" s="42">
        <f t="shared" ref="L41:R41" si="4">SUM(L31:L40)</f>
        <v>34225.68</v>
      </c>
      <c r="M41" s="42">
        <f t="shared" si="4"/>
        <v>51878.68</v>
      </c>
      <c r="N41" s="42">
        <f t="shared" si="4"/>
        <v>47280.68</v>
      </c>
      <c r="O41" s="42">
        <f t="shared" si="4"/>
        <v>35462.58</v>
      </c>
      <c r="P41" s="42">
        <f t="shared" si="4"/>
        <v>30494.059999999994</v>
      </c>
      <c r="Q41" s="42">
        <f t="shared" si="4"/>
        <v>33005.439999999995</v>
      </c>
      <c r="R41" s="115">
        <f t="shared" si="4"/>
        <v>21592</v>
      </c>
    </row>
    <row r="48" spans="1:19" ht="18" x14ac:dyDescent="0.25">
      <c r="Q48" s="5"/>
      <c r="R48" s="1"/>
      <c r="S48" s="1"/>
    </row>
    <row r="49" spans="17:19" ht="18" x14ac:dyDescent="0.25">
      <c r="Q49" s="5"/>
      <c r="R49" s="1"/>
      <c r="S49" s="1"/>
    </row>
    <row r="50" spans="17:19" ht="18" x14ac:dyDescent="0.25">
      <c r="Q50" s="5"/>
      <c r="R50" s="1"/>
      <c r="S50" s="1"/>
    </row>
    <row r="51" spans="17:19" ht="18" x14ac:dyDescent="0.25">
      <c r="Q51" s="5"/>
      <c r="R51" s="1"/>
      <c r="S51" s="1"/>
    </row>
    <row r="52" spans="17:19" ht="18" x14ac:dyDescent="0.25">
      <c r="Q52" s="5"/>
      <c r="R52" s="1"/>
      <c r="S52" s="1"/>
    </row>
    <row r="53" spans="17:19" ht="18" x14ac:dyDescent="0.25">
      <c r="Q53" s="5"/>
      <c r="R53" s="1"/>
      <c r="S53" s="1"/>
    </row>
    <row r="54" spans="17:19" ht="18" x14ac:dyDescent="0.25">
      <c r="Q54" s="5"/>
      <c r="R54" s="1"/>
      <c r="S54" s="1"/>
    </row>
    <row r="55" spans="17:19" ht="18" x14ac:dyDescent="0.25">
      <c r="Q55" s="5"/>
      <c r="R55" s="1"/>
      <c r="S55" s="1"/>
    </row>
    <row r="56" spans="17:19" ht="18" x14ac:dyDescent="0.25">
      <c r="Q56" s="5"/>
      <c r="R56" s="1"/>
      <c r="S56" s="1"/>
    </row>
    <row r="57" spans="17:19" ht="18" x14ac:dyDescent="0.25">
      <c r="Q57" s="5"/>
      <c r="R57" s="1"/>
      <c r="S57" s="1"/>
    </row>
    <row r="58" spans="17:19" ht="18" x14ac:dyDescent="0.25">
      <c r="Q58" s="6"/>
      <c r="R58" s="1"/>
      <c r="S58" s="1"/>
    </row>
    <row r="59" spans="17:19" ht="18.75" x14ac:dyDescent="0.3">
      <c r="Q59" s="7"/>
      <c r="R59" s="2"/>
      <c r="S59" s="2"/>
    </row>
  </sheetData>
  <phoneticPr fontId="2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81"/>
  <sheetViews>
    <sheetView zoomScale="78" zoomScaleNormal="78" workbookViewId="0">
      <selection activeCell="D26" sqref="D26"/>
    </sheetView>
  </sheetViews>
  <sheetFormatPr defaultColWidth="9.28515625" defaultRowHeight="12.75" x14ac:dyDescent="0.2"/>
  <cols>
    <col min="1" max="1" width="21.7109375" customWidth="1"/>
    <col min="2" max="2" width="10.7109375" style="16" customWidth="1"/>
    <col min="3" max="3" width="11.5703125" style="16" bestFit="1" customWidth="1"/>
    <col min="4" max="7" width="11.7109375" style="12" customWidth="1"/>
    <col min="8" max="8" width="10.7109375" style="16" customWidth="1"/>
    <col min="9" max="16" width="10.28515625" style="12" bestFit="1" customWidth="1"/>
    <col min="17" max="18" width="10.28515625" bestFit="1" customWidth="1"/>
  </cols>
  <sheetData>
    <row r="1" spans="1:20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20" x14ac:dyDescent="0.2">
      <c r="A2" s="27" t="s">
        <v>8</v>
      </c>
      <c r="B2" s="35">
        <f>(E2-F2)/F2</f>
        <v>-0.51617702764022988</v>
      </c>
      <c r="C2" s="144">
        <f>E2-'[1]EU - country'!E2</f>
        <v>-13853.317459999998</v>
      </c>
      <c r="D2" s="13">
        <f>F2-'[1]EU - country'!F2</f>
        <v>-12800.839999999997</v>
      </c>
      <c r="E2" s="130">
        <f>Austria!E$21</f>
        <v>29214.682540000002</v>
      </c>
      <c r="F2" s="13">
        <f>Austria!F$21</f>
        <v>60383</v>
      </c>
      <c r="G2" s="13">
        <f>Austria!G$21</f>
        <v>19309</v>
      </c>
      <c r="H2" s="13">
        <f>Austria!H$21</f>
        <v>11133.179999999998</v>
      </c>
      <c r="I2" s="13">
        <f>Austria!I$21</f>
        <v>58317.719999999987</v>
      </c>
      <c r="J2" s="13">
        <f>Austria!J$21</f>
        <v>55104.09</v>
      </c>
      <c r="K2" s="13">
        <f>Austria!K$21</f>
        <v>59629.040000000008</v>
      </c>
      <c r="L2" s="13">
        <f>Austria!L$21</f>
        <v>42748</v>
      </c>
      <c r="M2" s="13">
        <f>Austria!M$21</f>
        <v>66064</v>
      </c>
      <c r="N2" s="13">
        <f>Austria!N$21</f>
        <v>56988</v>
      </c>
      <c r="O2" s="13">
        <f>Austria!O$21</f>
        <v>62949</v>
      </c>
      <c r="P2" s="13">
        <f>Austria!P$21</f>
        <v>63437</v>
      </c>
      <c r="Q2" s="13">
        <f>Austria!Q$21</f>
        <v>44639</v>
      </c>
      <c r="R2" s="47">
        <f>Austria!R$21</f>
        <v>47303</v>
      </c>
      <c r="T2" s="3"/>
    </row>
    <row r="3" spans="1:20" x14ac:dyDescent="0.2">
      <c r="A3" s="27" t="s">
        <v>0</v>
      </c>
      <c r="B3" s="35">
        <f t="shared" ref="B3:B15" si="0">(E3-F3)/F3</f>
        <v>0.10676919198285642</v>
      </c>
      <c r="C3" s="144">
        <f>E3-'[1]EU - country'!E3</f>
        <v>-14748</v>
      </c>
      <c r="D3" s="13">
        <f>F3-'[1]EU - country'!F3</f>
        <v>-17737</v>
      </c>
      <c r="E3" s="130">
        <f>Belgium!E$10</f>
        <v>61460</v>
      </c>
      <c r="F3" s="13">
        <f>Belgium!F$10</f>
        <v>55531</v>
      </c>
      <c r="G3" s="13">
        <f>Belgium!G$10</f>
        <v>5106</v>
      </c>
      <c r="H3" s="13">
        <f>Belgium!H$10</f>
        <v>32190</v>
      </c>
      <c r="I3" s="13">
        <f>Belgium!I$10</f>
        <v>60375</v>
      </c>
      <c r="J3" s="13">
        <f>Belgium!J$10</f>
        <v>65646</v>
      </c>
      <c r="K3" s="13">
        <f>Belgium!K$10</f>
        <v>33733</v>
      </c>
      <c r="L3" s="13">
        <f>Belgium!L$10</f>
        <v>26067</v>
      </c>
      <c r="M3" s="13">
        <f>Belgium!M$10</f>
        <v>43210</v>
      </c>
      <c r="N3" s="13">
        <f>Belgium!N$10</f>
        <v>44761</v>
      </c>
      <c r="O3" s="13">
        <f>Belgium!O$10</f>
        <v>81942</v>
      </c>
      <c r="P3" s="13">
        <f>Belgium!P$10</f>
        <v>117300</v>
      </c>
      <c r="Q3" s="13">
        <f>Belgium!Q$10</f>
        <v>112900</v>
      </c>
      <c r="R3" s="47">
        <f>Belgium!R$10</f>
        <v>91500</v>
      </c>
    </row>
    <row r="4" spans="1:20" x14ac:dyDescent="0.2">
      <c r="A4" s="27" t="s">
        <v>31</v>
      </c>
      <c r="B4" s="35">
        <f t="shared" si="0"/>
        <v>-0.55289059848399136</v>
      </c>
      <c r="C4" s="144">
        <f>E4-'[1]EU - country'!E4</f>
        <v>-4903</v>
      </c>
      <c r="D4" s="13">
        <f>F4-'[1]EU - country'!F4</f>
        <v>-9062</v>
      </c>
      <c r="E4" s="130">
        <f>'Czech Republic'!E12</f>
        <v>7904</v>
      </c>
      <c r="F4" s="13">
        <f>'Czech Republic'!F$12</f>
        <v>17678</v>
      </c>
      <c r="G4" s="13">
        <f>'Czech Republic'!G$12</f>
        <v>7477</v>
      </c>
      <c r="H4" s="13">
        <f>'Czech Republic'!H$12</f>
        <v>6992</v>
      </c>
      <c r="I4" s="13">
        <f>'Czech Republic'!I$12</f>
        <v>13663</v>
      </c>
      <c r="J4" s="13">
        <f>'Czech Republic'!J$12</f>
        <v>6468</v>
      </c>
      <c r="K4" s="13">
        <f>'Czech Republic'!K$12</f>
        <v>8347</v>
      </c>
      <c r="L4" s="13">
        <f>'Czech Republic'!L$12</f>
        <v>5829</v>
      </c>
      <c r="M4" s="13">
        <f>'Czech Republic'!M$12</f>
        <v>2779</v>
      </c>
      <c r="N4" s="13">
        <f>'Czech Republic'!N$12</f>
        <v>3439</v>
      </c>
      <c r="O4" s="13">
        <f>'Czech Republic'!O$12</f>
        <v>9487</v>
      </c>
      <c r="P4" s="13">
        <f>'Czech Republic'!P$12</f>
        <v>8598</v>
      </c>
      <c r="Q4" s="13">
        <f>'Czech Republic'!Q$12</f>
        <v>3278</v>
      </c>
      <c r="R4" s="47">
        <f>'Czech Republic'!R$12</f>
        <v>7680</v>
      </c>
      <c r="T4" s="3"/>
    </row>
    <row r="5" spans="1:20" x14ac:dyDescent="0.2">
      <c r="A5" s="27" t="s">
        <v>40</v>
      </c>
      <c r="B5" s="35">
        <f t="shared" si="0"/>
        <v>-1</v>
      </c>
      <c r="C5" s="144">
        <f>E5-'[1]EU - country'!E5</f>
        <v>-624</v>
      </c>
      <c r="D5" s="13">
        <f>F5-'[1]EU - country'!F5</f>
        <v>-1335</v>
      </c>
      <c r="E5" s="130">
        <f>Denmark!E$20</f>
        <v>0</v>
      </c>
      <c r="F5" s="13">
        <f>Denmark!F$19</f>
        <v>3116</v>
      </c>
      <c r="G5" s="13">
        <f>Denmark!G$19</f>
        <v>0</v>
      </c>
      <c r="H5" s="13">
        <f>Denmark!H$19</f>
        <v>2047</v>
      </c>
      <c r="I5" s="13">
        <f>Denmark!I$19</f>
        <v>2124</v>
      </c>
      <c r="J5" s="13">
        <f>Denmark!J$19</f>
        <v>413</v>
      </c>
      <c r="K5" s="13">
        <f>Denmark!K$19</f>
        <v>40</v>
      </c>
      <c r="L5" s="13">
        <f>Denmark!L$19</f>
        <v>65</v>
      </c>
      <c r="M5" s="13">
        <f>Denmark!M$19</f>
        <v>512</v>
      </c>
      <c r="N5" s="13">
        <f>Denmark!N$19</f>
        <v>0</v>
      </c>
      <c r="O5" s="13">
        <f>Denmark!O$19</f>
        <v>181</v>
      </c>
      <c r="P5" s="13">
        <f>Denmark!P$19</f>
        <v>363</v>
      </c>
      <c r="Q5" s="13">
        <f>Denmark!Q$19</f>
        <v>0</v>
      </c>
      <c r="R5" s="47">
        <f>Denmark!R$19</f>
        <v>0</v>
      </c>
      <c r="T5" s="3"/>
    </row>
    <row r="6" spans="1:20" ht="15" x14ac:dyDescent="0.25">
      <c r="A6" s="53" t="s">
        <v>134</v>
      </c>
      <c r="B6" s="35">
        <f t="shared" si="0"/>
        <v>0.16770760340817922</v>
      </c>
      <c r="C6" s="144">
        <f>E6-'[1]EU - country'!E6</f>
        <v>-100903</v>
      </c>
      <c r="D6" s="13">
        <f>F6-'[1]EU - country'!F6</f>
        <v>-108071</v>
      </c>
      <c r="E6" s="130">
        <f>France!E$26</f>
        <v>229966</v>
      </c>
      <c r="F6" s="13">
        <f>France!F$26</f>
        <v>196938</v>
      </c>
      <c r="G6" s="13">
        <f>France!G$26</f>
        <v>154807</v>
      </c>
      <c r="H6" s="86">
        <f>France!H$26</f>
        <v>195927</v>
      </c>
      <c r="I6" s="86">
        <f>France!I$26</f>
        <v>187383</v>
      </c>
      <c r="J6" s="86">
        <f>France!J$26</f>
        <v>166501</v>
      </c>
      <c r="K6" s="86">
        <f>France!K$26</f>
        <v>229824</v>
      </c>
      <c r="L6" s="86">
        <f>France!L$26</f>
        <v>78688</v>
      </c>
      <c r="M6" s="86">
        <f>France!M$26</f>
        <v>176599</v>
      </c>
      <c r="N6" s="86">
        <f>France!N$26</f>
        <v>167266</v>
      </c>
      <c r="O6" s="86">
        <f>France!O$26</f>
        <v>193458</v>
      </c>
      <c r="P6" s="121"/>
      <c r="Q6" s="121"/>
      <c r="R6" s="95"/>
      <c r="T6" s="3"/>
    </row>
    <row r="7" spans="1:20" x14ac:dyDescent="0.2">
      <c r="A7" s="27" t="s">
        <v>28</v>
      </c>
      <c r="B7" s="35">
        <f t="shared" si="0"/>
        <v>-0.47073664096497053</v>
      </c>
      <c r="C7" s="144">
        <f>E7-'[1]EU - country'!E7</f>
        <v>-50507</v>
      </c>
      <c r="D7" s="13">
        <f>F7-'[1]EU - country'!F7</f>
        <v>-54988</v>
      </c>
      <c r="E7" s="130">
        <f>Germany!E$21</f>
        <v>70907</v>
      </c>
      <c r="F7" s="13">
        <f>Germany!F$21</f>
        <v>133973</v>
      </c>
      <c r="G7" s="13">
        <f>Germany!G$21</f>
        <v>45265</v>
      </c>
      <c r="H7" s="13">
        <f>Germany!H$21</f>
        <v>126892</v>
      </c>
      <c r="I7" s="13">
        <f>Germany!I$21</f>
        <v>111865</v>
      </c>
      <c r="J7" s="13">
        <f>Germany!J$21</f>
        <v>114233</v>
      </c>
      <c r="K7" s="13">
        <f>Germany!K$21</f>
        <v>92405</v>
      </c>
      <c r="L7" s="13">
        <f>Germany!L$21</f>
        <v>100504</v>
      </c>
      <c r="M7" s="13">
        <f>Germany!M$21</f>
        <v>102789</v>
      </c>
      <c r="N7" s="13">
        <f>Germany!N$21</f>
        <v>73197</v>
      </c>
      <c r="O7" s="13">
        <f>Germany!O$21</f>
        <v>106501</v>
      </c>
      <c r="P7" s="13">
        <f>Germany!P$21</f>
        <v>95395</v>
      </c>
      <c r="Q7" s="13">
        <f>Germany!Q$21</f>
        <v>62503</v>
      </c>
      <c r="R7" s="47">
        <f>Germany!R$21</f>
        <v>78127</v>
      </c>
      <c r="T7" s="3"/>
    </row>
    <row r="8" spans="1:20" x14ac:dyDescent="0.2">
      <c r="A8" s="27" t="s">
        <v>16</v>
      </c>
      <c r="B8" s="35">
        <f t="shared" si="0"/>
        <v>-0.29703512616402278</v>
      </c>
      <c r="C8" s="144">
        <f>E8-'[1]EU - country'!E8</f>
        <v>-204334.84613923304</v>
      </c>
      <c r="D8" s="13">
        <f>F8-'[1]EU - country'!F8</f>
        <v>-191118.96999999991</v>
      </c>
      <c r="E8" s="130">
        <f>Italy!E20</f>
        <v>352379.16</v>
      </c>
      <c r="F8" s="13">
        <f>Italy!F$20</f>
        <v>501275.62999999995</v>
      </c>
      <c r="G8" s="13">
        <f>Italy!G$20</f>
        <v>185842.63999999996</v>
      </c>
      <c r="H8" s="13">
        <f>Italy!H$20</f>
        <v>470610.35500000004</v>
      </c>
      <c r="I8" s="13">
        <f>Italy!I$20</f>
        <v>465821.10499999992</v>
      </c>
      <c r="J8" s="13">
        <f>Italy!J$20</f>
        <v>455710</v>
      </c>
      <c r="K8" s="13">
        <f>Italy!K$20</f>
        <v>412022</v>
      </c>
      <c r="L8" s="13">
        <f>Italy!L$20</f>
        <v>283337</v>
      </c>
      <c r="M8" s="13">
        <f>Italy!M$20</f>
        <v>383810</v>
      </c>
      <c r="N8" s="13">
        <f>Italy!N$20</f>
        <v>371916</v>
      </c>
      <c r="O8" s="13">
        <f>Italy!O$20</f>
        <v>374740.32</v>
      </c>
      <c r="P8" s="13">
        <f>Italy!P$20</f>
        <v>394307.89999999997</v>
      </c>
      <c r="Q8" s="13">
        <f>Italy!Q$20</f>
        <v>267141.60000000003</v>
      </c>
      <c r="R8" s="47">
        <f>Italy!R$20</f>
        <v>315450.49999999994</v>
      </c>
    </row>
    <row r="9" spans="1:20" x14ac:dyDescent="0.2">
      <c r="A9" s="53" t="s">
        <v>32</v>
      </c>
      <c r="B9" s="35">
        <f t="shared" si="0"/>
        <v>-0.59753086419753088</v>
      </c>
      <c r="C9" s="144">
        <f>E9-'[1]EU - country'!E9</f>
        <v>-166000</v>
      </c>
      <c r="D9" s="13">
        <f>F9-'[1]EU - country'!F9</f>
        <v>-260000</v>
      </c>
      <c r="E9" s="130">
        <f>Poland!E$18</f>
        <v>163000</v>
      </c>
      <c r="F9" s="13">
        <f>Poland!F$18</f>
        <v>405000</v>
      </c>
      <c r="G9" s="13">
        <f>Poland!G$18</f>
        <v>177000</v>
      </c>
      <c r="H9" s="86">
        <f>Poland!H$18</f>
        <v>300000</v>
      </c>
      <c r="I9" s="86">
        <f>Poland!I$18</f>
        <v>325000</v>
      </c>
      <c r="J9" s="86">
        <f>Poland!J$18</f>
        <v>250000</v>
      </c>
      <c r="K9" s="86">
        <f>Poland!K$18</f>
        <v>275000</v>
      </c>
      <c r="L9" s="86">
        <f>Poland!L$18</f>
        <v>184000</v>
      </c>
      <c r="M9" s="86">
        <f>Poland!M$18</f>
        <v>196000</v>
      </c>
      <c r="N9" s="86">
        <f>Poland!N$18</f>
        <v>55000</v>
      </c>
      <c r="O9" s="86">
        <f>Poland!O$18</f>
        <v>120000</v>
      </c>
      <c r="P9" s="86">
        <f>Poland!P$18</f>
        <v>60000</v>
      </c>
      <c r="Q9" s="86">
        <f>Poland!Q$18</f>
        <v>40000</v>
      </c>
      <c r="R9" s="88">
        <f>Poland!R$18</f>
        <v>70000</v>
      </c>
      <c r="T9" s="3"/>
    </row>
    <row r="10" spans="1:20" x14ac:dyDescent="0.2">
      <c r="A10" s="53" t="s">
        <v>151</v>
      </c>
      <c r="B10" s="35"/>
      <c r="C10" s="144">
        <f>E10-'[1]EU - country'!E10</f>
        <v>0</v>
      </c>
      <c r="D10" s="13">
        <f>F10-'[1]EU - country'!F10</f>
        <v>0</v>
      </c>
      <c r="E10" s="130">
        <f>Portugal!E$9</f>
        <v>0</v>
      </c>
      <c r="F10" s="13"/>
      <c r="G10" s="13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8"/>
      <c r="T10" s="3"/>
    </row>
    <row r="11" spans="1:20" x14ac:dyDescent="0.2">
      <c r="A11" s="27" t="s">
        <v>37</v>
      </c>
      <c r="B11" s="35">
        <f t="shared" si="0"/>
        <v>0.27668593213005638</v>
      </c>
      <c r="C11" s="144">
        <f>E11-'[1]EU - country'!E11</f>
        <v>-42956.058543918378</v>
      </c>
      <c r="D11" s="13">
        <f>F11-'[1]EU - country'!F11</f>
        <v>-29907.136266837479</v>
      </c>
      <c r="E11" s="130">
        <f>Spain!E$8</f>
        <v>104314.00348659609</v>
      </c>
      <c r="F11" s="13">
        <f>Spain!F$8</f>
        <v>81706.863733162521</v>
      </c>
      <c r="G11" s="13">
        <f>Spain!G$8</f>
        <v>57288</v>
      </c>
      <c r="H11" s="13">
        <f>Spain!H$8</f>
        <v>95292.387997085345</v>
      </c>
      <c r="I11" s="13">
        <f>Spain!I$8</f>
        <v>62236.192839871066</v>
      </c>
      <c r="J11" s="13">
        <f>Spain!J$8</f>
        <v>71719.423168264999</v>
      </c>
      <c r="K11" s="13">
        <f>Spain!K$8</f>
        <v>63132.695538891916</v>
      </c>
      <c r="L11" s="13">
        <f>Spain!L$8</f>
        <v>33305.771960482249</v>
      </c>
      <c r="M11" s="13">
        <f>Spain!M$8</f>
        <v>67752.745923924173</v>
      </c>
      <c r="N11" s="13">
        <f>Spain!N$8</f>
        <v>49551.313719182639</v>
      </c>
      <c r="O11" s="13">
        <f>Spain!O$8</f>
        <v>46160</v>
      </c>
      <c r="P11" s="13">
        <f>Spain!P$8</f>
        <v>73721</v>
      </c>
      <c r="Q11" s="13">
        <f>Spain!Q$8</f>
        <v>45862</v>
      </c>
      <c r="R11" s="47">
        <f>Spain!R$8</f>
        <v>40135</v>
      </c>
      <c r="T11" s="3"/>
    </row>
    <row r="12" spans="1:20" x14ac:dyDescent="0.2">
      <c r="A12" s="27" t="s">
        <v>60</v>
      </c>
      <c r="B12" s="35">
        <f t="shared" si="0"/>
        <v>-0.3051441654146097</v>
      </c>
      <c r="C12" s="144">
        <f>E12-'[1]EU - country'!E12</f>
        <v>-9156</v>
      </c>
      <c r="D12" s="13">
        <f>F12-'[1]EU - country'!F12</f>
        <v>-9290</v>
      </c>
      <c r="E12" s="130">
        <f>Switzerland!E$19</f>
        <v>19424</v>
      </c>
      <c r="F12" s="13">
        <f>Switzerland!F$19</f>
        <v>27954</v>
      </c>
      <c r="G12" s="13">
        <f>Switzerland!G$19</f>
        <v>7472</v>
      </c>
      <c r="H12" s="13">
        <f>Switzerland!H$19</f>
        <v>22706</v>
      </c>
      <c r="I12" s="13">
        <f>Switzerland!I$19</f>
        <v>21177</v>
      </c>
      <c r="J12" s="13">
        <f>Switzerland!J$19</f>
        <v>23181</v>
      </c>
      <c r="K12" s="13">
        <f>Switzerland!K$19</f>
        <v>22746</v>
      </c>
      <c r="L12" s="13">
        <f>Switzerland!L$19</f>
        <v>21274</v>
      </c>
      <c r="M12" s="13">
        <f>Switzerland!M$19</f>
        <v>26574</v>
      </c>
      <c r="N12" s="13">
        <f>Switzerland!N$19</f>
        <v>24101</v>
      </c>
      <c r="O12" s="13">
        <f>Switzerland!O$19</f>
        <v>25195</v>
      </c>
      <c r="P12" s="13">
        <f>Switzerland!P$19</f>
        <v>20451</v>
      </c>
      <c r="Q12" s="13">
        <f>Switzerland!Q$19</f>
        <v>21828</v>
      </c>
      <c r="R12" s="47">
        <f>Switzerland!R$19</f>
        <v>23305</v>
      </c>
      <c r="T12" s="3"/>
    </row>
    <row r="13" spans="1:20" x14ac:dyDescent="0.2">
      <c r="A13" s="27" t="s">
        <v>1</v>
      </c>
      <c r="B13" s="35">
        <f t="shared" si="0"/>
        <v>0.12360946227223192</v>
      </c>
      <c r="C13" s="144">
        <f>E13-'[1]EU - country'!E13</f>
        <v>-22793</v>
      </c>
      <c r="D13" s="13">
        <f>F13-'[1]EU - country'!F13</f>
        <v>-19431.234599999952</v>
      </c>
      <c r="E13" s="130">
        <f>Netherlands!E$8</f>
        <v>66450</v>
      </c>
      <c r="F13" s="13">
        <f>Netherlands!F$8</f>
        <v>59139.765400000048</v>
      </c>
      <c r="G13" s="13">
        <f>Netherlands!G$8</f>
        <v>37318.957999999999</v>
      </c>
      <c r="H13" s="13">
        <f>Netherlands!H$8</f>
        <v>83512</v>
      </c>
      <c r="I13" s="13">
        <f>Netherlands!I$8</f>
        <v>76773</v>
      </c>
      <c r="J13" s="13">
        <f>Netherlands!J$8</f>
        <v>86659</v>
      </c>
      <c r="K13" s="13">
        <f>Netherlands!K$8</f>
        <v>77000</v>
      </c>
      <c r="L13" s="13">
        <f>Netherlands!L$8</f>
        <v>55000</v>
      </c>
      <c r="M13" s="13">
        <f>Netherlands!M$8</f>
        <v>95000</v>
      </c>
      <c r="N13" s="13">
        <f>Netherlands!N$8</f>
        <v>58000</v>
      </c>
      <c r="O13" s="13">
        <f>Netherlands!O$8</f>
        <v>94000</v>
      </c>
      <c r="P13" s="13">
        <f>Netherlands!P$8</f>
        <v>89000</v>
      </c>
      <c r="Q13" s="13">
        <f>Netherlands!Q$8</f>
        <v>72000</v>
      </c>
      <c r="R13" s="47">
        <f>Netherlands!R$8</f>
        <v>78000</v>
      </c>
    </row>
    <row r="14" spans="1:20" ht="13.5" thickBot="1" x14ac:dyDescent="0.25">
      <c r="A14" s="38" t="s">
        <v>168</v>
      </c>
      <c r="B14" s="36">
        <f t="shared" si="0"/>
        <v>-7.2542499882920428E-2</v>
      </c>
      <c r="C14" s="145">
        <f>E14-'[1]EU - country'!E14</f>
        <v>-12431</v>
      </c>
      <c r="D14" s="15">
        <f>F14-'[1]EU - country'!F14</f>
        <v>-19840</v>
      </c>
      <c r="E14" s="131">
        <f>UK!E$12</f>
        <v>19804</v>
      </c>
      <c r="F14" s="15">
        <f>UK!F$12</f>
        <v>21353</v>
      </c>
      <c r="G14" s="15">
        <f>UK!G$12</f>
        <v>13773</v>
      </c>
      <c r="H14" s="15">
        <f>UK!H$12</f>
        <v>0</v>
      </c>
      <c r="I14" s="15">
        <f>UK!I$12</f>
        <v>13850</v>
      </c>
      <c r="J14" s="15">
        <f>UK!J$12</f>
        <v>20300</v>
      </c>
      <c r="K14" s="15">
        <f>UK!K$12</f>
        <v>23000</v>
      </c>
      <c r="L14" s="15">
        <f>UK!L$12</f>
        <v>7000</v>
      </c>
      <c r="M14" s="15">
        <f>UK!M$12</f>
        <v>17300</v>
      </c>
      <c r="N14" s="15">
        <f>UK!N$12</f>
        <v>16000</v>
      </c>
      <c r="O14" s="15">
        <f>UK!O$12</f>
        <v>18550</v>
      </c>
      <c r="P14" s="15">
        <f>UK!P$12</f>
        <v>20000</v>
      </c>
      <c r="Q14" s="15">
        <f>UK!Q$12</f>
        <v>11400</v>
      </c>
      <c r="R14" s="48">
        <f>UK!R$12</f>
        <v>20000</v>
      </c>
    </row>
    <row r="15" spans="1:20" ht="13.5" thickBot="1" x14ac:dyDescent="0.25">
      <c r="A15" s="40" t="s">
        <v>23</v>
      </c>
      <c r="B15" s="41">
        <f t="shared" si="0"/>
        <v>-0.28082599788193041</v>
      </c>
      <c r="C15" s="155">
        <f>E15-'[1]EU - country'!E15</f>
        <v>-643209.22214315133</v>
      </c>
      <c r="D15" s="42">
        <f>F15-'[1]EU - country'!F15</f>
        <v>-733581.18086683727</v>
      </c>
      <c r="E15" s="123">
        <f t="shared" ref="E15:J15" si="1">SUM(E2:E14)</f>
        <v>1124822.8460265961</v>
      </c>
      <c r="F15" s="42">
        <f t="shared" si="1"/>
        <v>1564048.2591331627</v>
      </c>
      <c r="G15" s="42">
        <f t="shared" si="1"/>
        <v>710658.59799999988</v>
      </c>
      <c r="H15" s="42">
        <f t="shared" si="1"/>
        <v>1347301.9229970854</v>
      </c>
      <c r="I15" s="42">
        <f t="shared" si="1"/>
        <v>1398585.0178398711</v>
      </c>
      <c r="J15" s="42">
        <f t="shared" si="1"/>
        <v>1315934.5131682649</v>
      </c>
      <c r="K15" s="42">
        <f t="shared" ref="K15:R15" si="2">SUM(K2:K14)</f>
        <v>1296878.735538892</v>
      </c>
      <c r="L15" s="42">
        <f t="shared" si="2"/>
        <v>837817.77196048223</v>
      </c>
      <c r="M15" s="42">
        <f t="shared" si="2"/>
        <v>1178389.7459239243</v>
      </c>
      <c r="N15" s="42">
        <f t="shared" si="2"/>
        <v>920219.31371918262</v>
      </c>
      <c r="O15" s="42">
        <f t="shared" si="2"/>
        <v>1133163.32</v>
      </c>
      <c r="P15" s="42">
        <f t="shared" si="2"/>
        <v>942572.89999999991</v>
      </c>
      <c r="Q15" s="42">
        <f t="shared" si="2"/>
        <v>681551.60000000009</v>
      </c>
      <c r="R15" s="115">
        <f t="shared" si="2"/>
        <v>771500.5</v>
      </c>
    </row>
    <row r="16" spans="1:20" s="9" customFormat="1" x14ac:dyDescent="0.2">
      <c r="A16" s="12"/>
      <c r="B16" s="44"/>
      <c r="C16" s="44"/>
      <c r="D16" s="44"/>
      <c r="E16" s="44"/>
      <c r="F16" s="44"/>
      <c r="G16" s="44"/>
      <c r="H16" s="44"/>
      <c r="I16" s="12"/>
      <c r="J16" s="12"/>
      <c r="K16" s="12"/>
      <c r="L16" s="12"/>
      <c r="M16" s="12"/>
      <c r="N16" s="12"/>
      <c r="O16" s="12"/>
      <c r="P16" s="12"/>
      <c r="Q16" s="8"/>
      <c r="R16" s="8"/>
    </row>
    <row r="17" spans="1:20" s="9" customFormat="1" ht="13.5" thickBot="1" x14ac:dyDescent="0.25">
      <c r="A17" s="12"/>
      <c r="B17" s="44"/>
      <c r="C17" s="44"/>
      <c r="D17" s="44"/>
      <c r="E17" s="44"/>
      <c r="F17" s="44"/>
      <c r="G17" s="44"/>
      <c r="H17" s="44"/>
      <c r="I17" s="12"/>
      <c r="J17" s="12"/>
      <c r="K17" s="12"/>
      <c r="L17" s="12"/>
      <c r="M17" s="12"/>
      <c r="N17" s="12"/>
      <c r="O17" s="12"/>
      <c r="P17" s="12"/>
      <c r="Q17" s="8"/>
      <c r="R17" s="8"/>
    </row>
    <row r="18" spans="1:20" s="16" customFormat="1" ht="13.5" thickBot="1" x14ac:dyDescent="0.25">
      <c r="A18" s="31" t="s">
        <v>25</v>
      </c>
      <c r="B18" s="32" t="s">
        <v>176</v>
      </c>
      <c r="C18" s="62" t="s">
        <v>177</v>
      </c>
      <c r="D18" s="99" t="s">
        <v>174</v>
      </c>
      <c r="E18" s="129">
        <v>43952</v>
      </c>
      <c r="F18" s="137">
        <v>43586</v>
      </c>
      <c r="G18" s="137">
        <v>43230</v>
      </c>
      <c r="H18" s="33">
        <v>42856</v>
      </c>
      <c r="I18" s="33">
        <v>42491</v>
      </c>
      <c r="J18" s="33">
        <v>42125</v>
      </c>
      <c r="K18" s="33">
        <v>41760</v>
      </c>
      <c r="L18" s="33">
        <v>41395</v>
      </c>
      <c r="M18" s="33">
        <v>41030</v>
      </c>
      <c r="N18" s="33">
        <v>40664</v>
      </c>
      <c r="O18" s="33">
        <v>40299</v>
      </c>
      <c r="P18" s="33">
        <v>39934</v>
      </c>
      <c r="Q18" s="33">
        <v>39569</v>
      </c>
      <c r="R18" s="34">
        <v>39203</v>
      </c>
      <c r="S18" s="12"/>
    </row>
    <row r="19" spans="1:20" x14ac:dyDescent="0.2">
      <c r="A19" s="27" t="s">
        <v>0</v>
      </c>
      <c r="B19" s="35">
        <f t="shared" ref="B19:B31" si="3">(E19-F19)/F19</f>
        <v>-0.63477460901563942</v>
      </c>
      <c r="C19" s="144">
        <f>E19-'[1]EU - country'!E19</f>
        <v>-43908</v>
      </c>
      <c r="D19" s="13">
        <f>F19-'[1]EU - country'!F19</f>
        <v>-31965</v>
      </c>
      <c r="E19" s="130">
        <f>Belgium!E$19</f>
        <v>14292</v>
      </c>
      <c r="F19" s="13">
        <f>Belgium!F$19</f>
        <v>39132</v>
      </c>
      <c r="G19" s="13">
        <f>Belgium!G$19</f>
        <v>12520</v>
      </c>
      <c r="H19" s="13">
        <f>Belgium!H$19</f>
        <v>24929</v>
      </c>
      <c r="I19" s="13">
        <f>Belgium!I$19</f>
        <v>48359</v>
      </c>
      <c r="J19" s="13">
        <f>Belgium!J$19</f>
        <v>25159</v>
      </c>
      <c r="K19" s="13">
        <f>Belgium!K$19</f>
        <v>11732</v>
      </c>
      <c r="L19" s="13">
        <f>Belgium!L$19</f>
        <v>13000</v>
      </c>
      <c r="M19" s="13">
        <f>Belgium!M$19</f>
        <v>15000</v>
      </c>
      <c r="N19" s="13">
        <f>Belgium!N$19</f>
        <v>30900</v>
      </c>
      <c r="O19" s="13">
        <f>Belgium!O$19</f>
        <v>22100</v>
      </c>
      <c r="P19" s="13">
        <f>Belgium!P$19</f>
        <v>0</v>
      </c>
      <c r="Q19" s="13">
        <f>Belgium!Q$19</f>
        <v>51300</v>
      </c>
      <c r="R19" s="47">
        <f>Belgium!R$19</f>
        <v>47000</v>
      </c>
    </row>
    <row r="20" spans="1:20" x14ac:dyDescent="0.2">
      <c r="A20" s="27" t="s">
        <v>31</v>
      </c>
      <c r="B20" s="35">
        <f t="shared" si="3"/>
        <v>-0.73544973544973546</v>
      </c>
      <c r="C20" s="144">
        <f>E20-'[1]EU - country'!E20</f>
        <v>-522</v>
      </c>
      <c r="D20" s="13">
        <f>F20-'[1]EU - country'!F20</f>
        <v>-377</v>
      </c>
      <c r="E20" s="130">
        <f>'Czech Republic'!E$21</f>
        <v>200</v>
      </c>
      <c r="F20" s="13">
        <f>'Czech Republic'!F$21</f>
        <v>756</v>
      </c>
      <c r="G20" s="13">
        <f>'Czech Republic'!G$21</f>
        <v>600</v>
      </c>
      <c r="H20" s="13">
        <f>'Czech Republic'!H$21</f>
        <v>370</v>
      </c>
      <c r="I20" s="13">
        <f>'Czech Republic'!I$21</f>
        <v>1001</v>
      </c>
      <c r="J20" s="13">
        <f>'Czech Republic'!J$21</f>
        <v>0</v>
      </c>
      <c r="K20" s="13">
        <f>'Czech Republic'!K$21</f>
        <v>567</v>
      </c>
      <c r="L20" s="13">
        <f>'Czech Republic'!L$21</f>
        <v>0</v>
      </c>
      <c r="M20" s="13">
        <f>'Czech Republic'!M$21</f>
        <v>0</v>
      </c>
      <c r="N20" s="13">
        <f>'Czech Republic'!N$21</f>
        <v>0</v>
      </c>
      <c r="O20" s="13">
        <f>'Czech Republic'!O$21</f>
        <v>0</v>
      </c>
      <c r="P20" s="13">
        <f>'Czech Republic'!P$21</f>
        <v>0</v>
      </c>
      <c r="Q20" s="13">
        <f>'Czech Republic'!Q$21</f>
        <v>0</v>
      </c>
      <c r="R20" s="47">
        <f>'Czech Republic'!R$21</f>
        <v>0</v>
      </c>
    </row>
    <row r="21" spans="1:20" x14ac:dyDescent="0.2">
      <c r="A21" s="27" t="s">
        <v>40</v>
      </c>
      <c r="B21" s="35"/>
      <c r="C21" s="144">
        <f>E21-'[1]EU - country'!E21</f>
        <v>-19</v>
      </c>
      <c r="D21" s="13">
        <f>F21-'[1]EU - country'!F21</f>
        <v>-121</v>
      </c>
      <c r="E21" s="130">
        <f>Denmark!E$27</f>
        <v>0</v>
      </c>
      <c r="F21" s="13">
        <f>Denmark!F$26</f>
        <v>0</v>
      </c>
      <c r="G21" s="13">
        <f>Denmark!G$26</f>
        <v>0</v>
      </c>
      <c r="H21" s="13">
        <f>Denmark!H$26</f>
        <v>0</v>
      </c>
      <c r="I21" s="13">
        <f>Denmark!I$26</f>
        <v>17</v>
      </c>
      <c r="J21" s="13">
        <f>Denmark!J$26</f>
        <v>0</v>
      </c>
      <c r="K21" s="13">
        <f>Denmark!K$26</f>
        <v>0</v>
      </c>
      <c r="L21" s="13">
        <f>Denmark!L$26</f>
        <v>0</v>
      </c>
      <c r="M21" s="13">
        <f>Denmark!M$26</f>
        <v>0</v>
      </c>
      <c r="N21" s="13">
        <f>Denmark!N$26</f>
        <v>0</v>
      </c>
      <c r="O21" s="13">
        <f>Denmark!O$26</f>
        <v>0</v>
      </c>
      <c r="P21" s="13">
        <f>Denmark!P$26</f>
        <v>0</v>
      </c>
      <c r="Q21" s="13">
        <f>Denmark!Q$26</f>
        <v>0</v>
      </c>
      <c r="R21" s="47">
        <f>Denmark!R$26</f>
        <v>0</v>
      </c>
      <c r="T21" s="3"/>
    </row>
    <row r="22" spans="1:20" x14ac:dyDescent="0.2">
      <c r="A22" s="53" t="s">
        <v>134</v>
      </c>
      <c r="B22" s="35">
        <f t="shared" si="3"/>
        <v>-0.27236315086782376</v>
      </c>
      <c r="C22" s="144">
        <f>E22-'[1]EU - country'!E22</f>
        <v>-435</v>
      </c>
      <c r="D22" s="13">
        <f>F22-'[1]EU - country'!F22</f>
        <v>-1140</v>
      </c>
      <c r="E22" s="130">
        <f>France!E$38</f>
        <v>545</v>
      </c>
      <c r="F22" s="13">
        <f>France!F$38</f>
        <v>749</v>
      </c>
      <c r="G22" s="13">
        <f>France!G$38</f>
        <v>775</v>
      </c>
      <c r="H22" s="13">
        <f>France!H$38</f>
        <v>464</v>
      </c>
      <c r="I22" s="13">
        <f>France!I$38</f>
        <v>275</v>
      </c>
      <c r="J22" s="13">
        <f>France!J$38</f>
        <v>738</v>
      </c>
      <c r="K22" s="13">
        <f>France!K$38</f>
        <v>1814</v>
      </c>
      <c r="L22" s="13">
        <f>France!L$38</f>
        <v>11</v>
      </c>
      <c r="M22" s="13">
        <f>France!M$38</f>
        <v>2094</v>
      </c>
      <c r="N22" s="13">
        <f>France!N$38</f>
        <v>0</v>
      </c>
      <c r="O22" s="13">
        <f>France!O$38</f>
        <v>0</v>
      </c>
      <c r="P22" s="13">
        <f>France!P$38</f>
        <v>0</v>
      </c>
      <c r="Q22" s="13">
        <f>France!Q$38</f>
        <v>0</v>
      </c>
      <c r="R22" s="47">
        <f>France!R$38</f>
        <v>0</v>
      </c>
    </row>
    <row r="23" spans="1:20" x14ac:dyDescent="0.2">
      <c r="A23" s="27" t="s">
        <v>28</v>
      </c>
      <c r="B23" s="35">
        <f t="shared" si="3"/>
        <v>-0.44306930693069307</v>
      </c>
      <c r="C23" s="144">
        <f>E23-'[1]EU - country'!E23</f>
        <v>-169</v>
      </c>
      <c r="D23" s="13">
        <f>F23-'[1]EU - country'!F23</f>
        <v>-417</v>
      </c>
      <c r="E23" s="130">
        <f>Germany!E$26</f>
        <v>225</v>
      </c>
      <c r="F23" s="13">
        <f>Germany!F$26</f>
        <v>404</v>
      </c>
      <c r="G23" s="13">
        <f>Germany!G$26</f>
        <v>0</v>
      </c>
      <c r="H23" s="13">
        <f>Germany!H$26</f>
        <v>25</v>
      </c>
      <c r="I23" s="13">
        <f>Germany!I$26</f>
        <v>20</v>
      </c>
      <c r="J23" s="13">
        <f>Germany!J$26</f>
        <v>427</v>
      </c>
      <c r="K23" s="13">
        <f>Germany!K$26</f>
        <v>234</v>
      </c>
      <c r="L23" s="13">
        <f>Germany!L$26</f>
        <v>23</v>
      </c>
      <c r="M23" s="13">
        <f>Germany!M$26</f>
        <v>189</v>
      </c>
      <c r="N23" s="13">
        <f>Germany!N$26</f>
        <v>1</v>
      </c>
      <c r="O23" s="13">
        <f>Germany!O$26</f>
        <v>113</v>
      </c>
      <c r="P23" s="13">
        <f>Germany!P$26</f>
        <v>0</v>
      </c>
      <c r="Q23" s="13">
        <f>Germany!Q$26</f>
        <v>151</v>
      </c>
      <c r="R23" s="47">
        <f>Germany!R$26</f>
        <v>24</v>
      </c>
      <c r="T23" s="3"/>
    </row>
    <row r="24" spans="1:20" x14ac:dyDescent="0.2">
      <c r="A24" s="27" t="s">
        <v>16</v>
      </c>
      <c r="B24" s="35">
        <f t="shared" si="3"/>
        <v>-1</v>
      </c>
      <c r="C24" s="144">
        <f>E24-'[1]EU - country'!E24</f>
        <v>0</v>
      </c>
      <c r="D24" s="13">
        <f>F24-'[1]EU - country'!F24</f>
        <v>-33457.091328189985</v>
      </c>
      <c r="E24" s="130">
        <f>Italy!E$29</f>
        <v>0</v>
      </c>
      <c r="F24" s="13">
        <f>Italy!F$29</f>
        <v>15977.150446034766</v>
      </c>
      <c r="G24" s="13">
        <f>Italy!G$29</f>
        <v>26736.244860557508</v>
      </c>
      <c r="H24" s="13">
        <f>Italy!H$29</f>
        <v>6879.0986779878931</v>
      </c>
      <c r="I24" s="13">
        <f>Italy!I$29</f>
        <v>22149.816980799365</v>
      </c>
      <c r="J24" s="13">
        <f>Italy!J$29</f>
        <v>7967.1609483734073</v>
      </c>
      <c r="K24" s="13">
        <f>Italy!K$29</f>
        <v>23299.296052058711</v>
      </c>
      <c r="L24" s="13">
        <f>Italy!L$29</f>
        <v>5752</v>
      </c>
      <c r="M24" s="13">
        <f>Italy!M$29</f>
        <v>35882.507450996411</v>
      </c>
      <c r="N24" s="13">
        <f>Italy!N$29</f>
        <v>9926.3964867431223</v>
      </c>
      <c r="O24" s="13">
        <f>Italy!O$29</f>
        <v>25248</v>
      </c>
      <c r="P24" s="13">
        <f>Italy!P$29</f>
        <v>14616</v>
      </c>
      <c r="Q24" s="13">
        <f>Italy!Q$29</f>
        <v>15003</v>
      </c>
      <c r="R24" s="47">
        <f>Italy!R$29</f>
        <v>21700</v>
      </c>
      <c r="T24" s="3"/>
    </row>
    <row r="25" spans="1:20" x14ac:dyDescent="0.2">
      <c r="A25" s="53" t="s">
        <v>32</v>
      </c>
      <c r="B25" s="35"/>
      <c r="C25" s="144">
        <f>E25-'[1]EU - country'!E25</f>
        <v>0</v>
      </c>
      <c r="D25" s="13">
        <f>F25-'[1]EU - country'!F25</f>
        <v>0</v>
      </c>
      <c r="E25" s="130">
        <f>Poland!E$25</f>
        <v>0</v>
      </c>
      <c r="F25" s="13">
        <f>Poland!F$25</f>
        <v>0</v>
      </c>
      <c r="G25" s="13">
        <f>Poland!G$25</f>
        <v>0</v>
      </c>
      <c r="H25" s="86">
        <f>Poland!H$25</f>
        <v>0</v>
      </c>
      <c r="I25" s="86">
        <f>Poland!I$25</f>
        <v>0</v>
      </c>
      <c r="J25" s="86">
        <f>Poland!J$25</f>
        <v>0</v>
      </c>
      <c r="K25" s="86">
        <f>Poland!K$25</f>
        <v>1000</v>
      </c>
      <c r="L25" s="86">
        <f>Poland!L$25</f>
        <v>0</v>
      </c>
      <c r="M25" s="86">
        <f>Poland!M$25</f>
        <v>0</v>
      </c>
      <c r="N25" s="86">
        <f>Poland!N$25</f>
        <v>0</v>
      </c>
      <c r="O25" s="86">
        <f>Poland!O$25</f>
        <v>1000</v>
      </c>
      <c r="P25" s="86">
        <f>Poland!P$25</f>
        <v>0</v>
      </c>
      <c r="Q25" s="86">
        <f>Poland!Q$25</f>
        <v>0</v>
      </c>
      <c r="R25" s="88">
        <f>Poland!R$25</f>
        <v>500</v>
      </c>
      <c r="T25" s="3"/>
    </row>
    <row r="26" spans="1:20" ht="15" x14ac:dyDescent="0.25">
      <c r="A26" s="53" t="s">
        <v>169</v>
      </c>
      <c r="B26" s="35">
        <f t="shared" si="3"/>
        <v>-5.3309256496820286E-2</v>
      </c>
      <c r="C26" s="144">
        <f>E26-'[2]EU - country'!E26</f>
        <v>-34817</v>
      </c>
      <c r="D26" s="13">
        <f>F26-'[2]EU - country'!F26</f>
        <v>-28598</v>
      </c>
      <c r="E26" s="130">
        <f>Portugal!E$14</f>
        <v>12058</v>
      </c>
      <c r="F26" s="13">
        <f>Portugal!$F14</f>
        <v>12737</v>
      </c>
      <c r="G26" s="13">
        <f>Portugal!$G14</f>
        <v>5745</v>
      </c>
      <c r="H26" s="86">
        <f>Portugal!$H14</f>
        <v>4397</v>
      </c>
      <c r="I26" s="86">
        <f>Portugal!$I14</f>
        <v>2891</v>
      </c>
      <c r="J26" s="86">
        <f>Portugal!$J14</f>
        <v>6678.5714285714284</v>
      </c>
      <c r="K26" s="86">
        <f>Portugal!$K14</f>
        <v>26042.682926829268</v>
      </c>
      <c r="L26" s="86">
        <f>Portugal!L14</f>
        <v>0</v>
      </c>
      <c r="M26" s="86">
        <f>Portugal!M14</f>
        <v>0</v>
      </c>
      <c r="N26" s="121"/>
      <c r="O26" s="121"/>
      <c r="P26" s="121"/>
      <c r="Q26" s="121"/>
      <c r="R26" s="95"/>
      <c r="T26" s="3"/>
    </row>
    <row r="27" spans="1:20" x14ac:dyDescent="0.2">
      <c r="A27" s="27" t="s">
        <v>37</v>
      </c>
      <c r="B27" s="35">
        <f t="shared" si="3"/>
        <v>-6.9690243119228279E-2</v>
      </c>
      <c r="C27" s="144">
        <f>E27-'[1]EU - country'!E27</f>
        <v>-12443.170912582867</v>
      </c>
      <c r="D27" s="13">
        <f>F27-'[1]EU - country'!F27</f>
        <v>-9175.0687388770493</v>
      </c>
      <c r="E27" s="130">
        <f>Spain!E$17</f>
        <v>16022.660994309535</v>
      </c>
      <c r="F27" s="13">
        <f>Spain!F$17</f>
        <v>17222.931261122951</v>
      </c>
      <c r="G27" s="13">
        <f>Spain!G$17</f>
        <v>19559</v>
      </c>
      <c r="H27" s="13">
        <f>Spain!H$17</f>
        <v>11861</v>
      </c>
      <c r="I27" s="13">
        <f>Spain!I$17</f>
        <v>19055.892827601059</v>
      </c>
      <c r="J27" s="13">
        <f>Spain!J$17</f>
        <v>18458.908068221179</v>
      </c>
      <c r="K27" s="13">
        <f>Spain!K$17</f>
        <v>22128.272796910118</v>
      </c>
      <c r="L27" s="13">
        <f>Spain!L$17</f>
        <v>4940.6443136765101</v>
      </c>
      <c r="M27" s="13">
        <f>Spain!M$17</f>
        <v>39760.614122054656</v>
      </c>
      <c r="N27" s="13">
        <f>Spain!N$17</f>
        <v>28512.259798806899</v>
      </c>
      <c r="O27" s="13">
        <f>Spain!O$17</f>
        <v>21491</v>
      </c>
      <c r="P27" s="13">
        <f>Spain!P$17</f>
        <v>21134</v>
      </c>
      <c r="Q27" s="13">
        <f>Spain!Q$17</f>
        <v>17180</v>
      </c>
      <c r="R27" s="47">
        <f>Spain!R$17</f>
        <v>25909</v>
      </c>
      <c r="T27" s="3"/>
    </row>
    <row r="28" spans="1:20" x14ac:dyDescent="0.2">
      <c r="A28" s="27" t="s">
        <v>60</v>
      </c>
      <c r="B28" s="35">
        <f t="shared" si="3"/>
        <v>0.26627218934911245</v>
      </c>
      <c r="C28" s="144">
        <f>E28-'[1]EU - country'!E28</f>
        <v>-1603</v>
      </c>
      <c r="D28" s="13">
        <f>F28-'[1]EU - country'!F28</f>
        <v>-1338</v>
      </c>
      <c r="E28" s="130">
        <f>Switzerland!E$28</f>
        <v>856</v>
      </c>
      <c r="F28" s="13">
        <f>Switzerland!F$28</f>
        <v>676</v>
      </c>
      <c r="G28" s="13">
        <f>Switzerland!G$28</f>
        <v>0</v>
      </c>
      <c r="H28" s="13">
        <f>Switzerland!H$28</f>
        <v>3</v>
      </c>
      <c r="I28" s="13">
        <f>Switzerland!I$28</f>
        <v>33</v>
      </c>
      <c r="J28" s="13">
        <f>Switzerland!J$28</f>
        <v>532</v>
      </c>
      <c r="K28" s="13">
        <f>Switzerland!K$28</f>
        <v>96</v>
      </c>
      <c r="L28" s="13">
        <f>Switzerland!L$28</f>
        <v>0</v>
      </c>
      <c r="M28" s="13">
        <f>Switzerland!M$28</f>
        <v>1132</v>
      </c>
      <c r="N28" s="13">
        <f>Switzerland!N$28</f>
        <v>0</v>
      </c>
      <c r="O28" s="13">
        <f>Switzerland!O$28</f>
        <v>168</v>
      </c>
      <c r="P28" s="13">
        <f>Switzerland!P$28</f>
        <v>0</v>
      </c>
      <c r="Q28" s="13">
        <f>Switzerland!Q$28</f>
        <v>293</v>
      </c>
      <c r="R28" s="47">
        <f>Switzerland!R$28</f>
        <v>1</v>
      </c>
      <c r="T28" s="3"/>
    </row>
    <row r="29" spans="1:20" x14ac:dyDescent="0.2">
      <c r="A29" s="27" t="s">
        <v>1</v>
      </c>
      <c r="B29" s="35">
        <f t="shared" si="3"/>
        <v>-0.13963940825870039</v>
      </c>
      <c r="C29" s="144">
        <f>E29-'[1]EU - country'!E29</f>
        <v>-31665</v>
      </c>
      <c r="D29" s="13">
        <f>F29-'[1]EU - country'!F29</f>
        <v>-38311.877280000001</v>
      </c>
      <c r="E29" s="130">
        <f>Netherlands!E$15</f>
        <v>59636</v>
      </c>
      <c r="F29" s="13">
        <f>Netherlands!F$15</f>
        <v>69315.122719999999</v>
      </c>
      <c r="G29" s="13">
        <f>Netherlands!G$15</f>
        <v>61290.519</v>
      </c>
      <c r="H29" s="13">
        <f>Netherlands!H$15</f>
        <v>69781</v>
      </c>
      <c r="I29" s="13">
        <f>Netherlands!I$15</f>
        <v>62952</v>
      </c>
      <c r="J29" s="13">
        <f>Netherlands!J$15</f>
        <v>53848</v>
      </c>
      <c r="K29" s="13">
        <f>Netherlands!K$15</f>
        <v>45000</v>
      </c>
      <c r="L29" s="13">
        <f>Netherlands!L$15</f>
        <v>25000</v>
      </c>
      <c r="M29" s="13">
        <f>Netherlands!M$15</f>
        <v>46000</v>
      </c>
      <c r="N29" s="13">
        <f>Netherlands!N$15</f>
        <v>39000</v>
      </c>
      <c r="O29" s="13">
        <f>Netherlands!O$15</f>
        <v>43000</v>
      </c>
      <c r="P29" s="13">
        <f>Netherlands!P$15</f>
        <v>12000</v>
      </c>
      <c r="Q29" s="13">
        <f>Netherlands!Q$15</f>
        <v>23000</v>
      </c>
      <c r="R29" s="47">
        <f>Netherlands!R$15</f>
        <v>34000</v>
      </c>
    </row>
    <row r="30" spans="1:20" ht="13.5" thickBot="1" x14ac:dyDescent="0.25">
      <c r="A30" s="38" t="s">
        <v>168</v>
      </c>
      <c r="B30" s="36">
        <f t="shared" si="3"/>
        <v>-1</v>
      </c>
      <c r="C30" s="145">
        <f>E30-'[1]EU - country'!E30</f>
        <v>-50</v>
      </c>
      <c r="D30" s="15">
        <f>F30-'[1]EU - country'!F30</f>
        <v>-705</v>
      </c>
      <c r="E30" s="131">
        <f>UK!E$19</f>
        <v>0</v>
      </c>
      <c r="F30" s="15">
        <f>UK!F$19</f>
        <v>46</v>
      </c>
      <c r="G30" s="15">
        <f>UK!G$19</f>
        <v>0</v>
      </c>
      <c r="H30" s="15">
        <f>UK!H$19</f>
        <v>0</v>
      </c>
      <c r="I30" s="15">
        <f>UK!I$19</f>
        <v>750</v>
      </c>
      <c r="J30" s="15">
        <f>UK!J$19</f>
        <v>800</v>
      </c>
      <c r="K30" s="15">
        <f>UK!K$19</f>
        <v>1500</v>
      </c>
      <c r="L30" s="15">
        <f>UK!L$19</f>
        <v>900</v>
      </c>
      <c r="M30" s="15">
        <f>UK!M$19</f>
        <v>1300</v>
      </c>
      <c r="N30" s="15">
        <f>UK!N$19</f>
        <v>1500</v>
      </c>
      <c r="O30" s="15">
        <f>UK!O$19</f>
        <v>1200</v>
      </c>
      <c r="P30" s="15">
        <f>UK!P$19</f>
        <v>500</v>
      </c>
      <c r="Q30" s="15">
        <f>UK!Q$19</f>
        <v>300</v>
      </c>
      <c r="R30" s="48">
        <f>UK!R$19</f>
        <v>0</v>
      </c>
      <c r="T30" s="3"/>
    </row>
    <row r="31" spans="1:20" ht="13.5" thickBot="1" x14ac:dyDescent="0.25">
      <c r="A31" s="40" t="s">
        <v>23</v>
      </c>
      <c r="B31" s="41">
        <f t="shared" si="3"/>
        <v>-0.33869677542928406</v>
      </c>
      <c r="C31" s="155">
        <f>E31-'[1]EU - country'!E31</f>
        <v>-78756.170912582878</v>
      </c>
      <c r="D31" s="42">
        <f>F31-'[1]EU - country'!F31</f>
        <v>-129140.03734706703</v>
      </c>
      <c r="E31" s="123">
        <f>SUM(E19:E30)</f>
        <v>103834.66099430954</v>
      </c>
      <c r="F31" s="42">
        <f>SUM(F19:F30)</f>
        <v>157015.2044271577</v>
      </c>
      <c r="G31" s="42">
        <f t="shared" ref="G31:L31" si="4">SUM(G19:G30)</f>
        <v>127225.7638605575</v>
      </c>
      <c r="H31" s="42">
        <f t="shared" si="4"/>
        <v>118709.0986779879</v>
      </c>
      <c r="I31" s="42">
        <f t="shared" si="4"/>
        <v>157503.70980840042</v>
      </c>
      <c r="J31" s="42">
        <f t="shared" si="4"/>
        <v>114608.64044516601</v>
      </c>
      <c r="K31" s="42">
        <f t="shared" si="4"/>
        <v>133413.2517757981</v>
      </c>
      <c r="L31" s="42">
        <f t="shared" si="4"/>
        <v>49626.644313676508</v>
      </c>
      <c r="M31" s="42">
        <f t="shared" ref="M31:R31" si="5">SUM(M19:M30)</f>
        <v>141358.12157305106</v>
      </c>
      <c r="N31" s="42">
        <f t="shared" si="5"/>
        <v>109839.65628555002</v>
      </c>
      <c r="O31" s="42">
        <f t="shared" si="5"/>
        <v>114320</v>
      </c>
      <c r="P31" s="42">
        <f t="shared" si="5"/>
        <v>48250</v>
      </c>
      <c r="Q31" s="42">
        <f t="shared" si="5"/>
        <v>107227</v>
      </c>
      <c r="R31" s="115">
        <f t="shared" si="5"/>
        <v>129134</v>
      </c>
    </row>
    <row r="32" spans="1:20" x14ac:dyDescent="0.2">
      <c r="A32" s="3" t="s">
        <v>165</v>
      </c>
      <c r="R32" s="1"/>
    </row>
    <row r="33" spans="1:20" x14ac:dyDescent="0.2">
      <c r="A33" s="63" t="s">
        <v>170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20" x14ac:dyDescent="0.2">
      <c r="A34" s="63"/>
      <c r="Q34" s="1"/>
      <c r="R34" s="1"/>
    </row>
    <row r="35" spans="1:20" x14ac:dyDescent="0.2">
      <c r="A35" s="9"/>
      <c r="B35" s="12"/>
      <c r="C35" s="12"/>
      <c r="H35" s="12"/>
      <c r="Q35" s="1"/>
      <c r="R35" s="1"/>
    </row>
    <row r="36" spans="1:20" x14ac:dyDescent="0.2">
      <c r="A36" s="90"/>
      <c r="B36" s="12"/>
      <c r="C36" s="12"/>
      <c r="H36" s="12"/>
      <c r="Q36" s="12"/>
      <c r="R36" s="12"/>
      <c r="S36" s="12"/>
    </row>
    <row r="37" spans="1:20" ht="25.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  <c r="R37" s="19"/>
      <c r="S37" s="12"/>
    </row>
    <row r="38" spans="1:20" x14ac:dyDescent="0.2">
      <c r="A38" s="12"/>
      <c r="B38" s="12"/>
      <c r="C38" s="12"/>
      <c r="H38" s="12"/>
      <c r="Q38" s="13"/>
      <c r="R38" s="13"/>
      <c r="S38" s="12"/>
    </row>
    <row r="39" spans="1:20" ht="25.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23"/>
      <c r="S39" s="11"/>
      <c r="T39" s="9"/>
    </row>
    <row r="40" spans="1:20" x14ac:dyDescent="0.2">
      <c r="A40" s="12"/>
      <c r="B40" s="12"/>
      <c r="C40" s="12"/>
      <c r="H40" s="12"/>
      <c r="Q40" s="20"/>
      <c r="R40" s="20"/>
      <c r="S40" s="13"/>
      <c r="T40" s="9"/>
    </row>
    <row r="41" spans="1:20" x14ac:dyDescent="0.2">
      <c r="A41" s="12"/>
      <c r="B41" s="12"/>
      <c r="C41" s="12"/>
      <c r="H41" s="12"/>
      <c r="Q41" s="20"/>
      <c r="R41" s="20"/>
      <c r="S41" s="13"/>
      <c r="T41" s="9"/>
    </row>
    <row r="42" spans="1:20" x14ac:dyDescent="0.2">
      <c r="A42" s="12"/>
      <c r="B42" s="12"/>
      <c r="C42" s="12"/>
      <c r="H42" s="12"/>
      <c r="Q42" s="20"/>
      <c r="R42" s="20"/>
      <c r="S42" s="13"/>
      <c r="T42" s="9"/>
    </row>
    <row r="43" spans="1:20" x14ac:dyDescent="0.2">
      <c r="A43" s="12"/>
      <c r="B43" s="12"/>
      <c r="C43" s="12"/>
      <c r="H43" s="12"/>
      <c r="Q43" s="20"/>
      <c r="R43" s="20"/>
      <c r="S43" s="13"/>
      <c r="T43" s="9"/>
    </row>
    <row r="44" spans="1:20" x14ac:dyDescent="0.2">
      <c r="A44" s="12"/>
      <c r="B44" s="12"/>
      <c r="C44" s="12"/>
      <c r="H44" s="12"/>
      <c r="Q44" s="20"/>
      <c r="R44" s="20"/>
      <c r="S44" s="13"/>
      <c r="T44" s="9"/>
    </row>
    <row r="45" spans="1:20" x14ac:dyDescent="0.2">
      <c r="A45" s="12"/>
      <c r="B45" s="12"/>
      <c r="C45" s="12"/>
      <c r="H45" s="12"/>
      <c r="Q45" s="20"/>
      <c r="R45" s="20"/>
      <c r="S45" s="13"/>
      <c r="T45" s="9"/>
    </row>
    <row r="46" spans="1:20" x14ac:dyDescent="0.2">
      <c r="A46" s="12"/>
      <c r="B46" s="12"/>
      <c r="C46" s="12"/>
      <c r="H46" s="12"/>
      <c r="Q46" s="20"/>
      <c r="R46" s="20"/>
      <c r="S46" s="13"/>
      <c r="T46" s="9"/>
    </row>
    <row r="47" spans="1:20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0"/>
      <c r="R47" s="20"/>
      <c r="S47" s="13"/>
      <c r="T47" s="9"/>
    </row>
    <row r="48" spans="1:20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0"/>
      <c r="R48" s="20"/>
      <c r="S48" s="13"/>
      <c r="T48" s="9"/>
    </row>
    <row r="49" spans="1:20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0"/>
      <c r="R49" s="20"/>
      <c r="S49" s="13"/>
      <c r="T49" s="9"/>
    </row>
    <row r="50" spans="1:20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0"/>
      <c r="R50" s="20"/>
      <c r="S50" s="13"/>
      <c r="T50" s="9"/>
    </row>
    <row r="51" spans="1:20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0"/>
      <c r="R51" s="20"/>
      <c r="S51" s="13"/>
      <c r="T51" s="9"/>
    </row>
    <row r="52" spans="1:20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0"/>
      <c r="R52" s="20"/>
      <c r="S52" s="13"/>
      <c r="T52" s="9"/>
    </row>
    <row r="53" spans="1:20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0"/>
      <c r="R53" s="20"/>
      <c r="S53" s="13"/>
      <c r="T53" s="9"/>
    </row>
    <row r="54" spans="1:20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0"/>
      <c r="R54" s="20"/>
      <c r="S54" s="13"/>
      <c r="T54" s="9"/>
    </row>
    <row r="55" spans="1:20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0"/>
      <c r="R55" s="20"/>
      <c r="S55" s="14"/>
      <c r="T55" s="9"/>
    </row>
    <row r="56" spans="1:20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0"/>
      <c r="R56" s="20"/>
      <c r="S56" s="12"/>
    </row>
    <row r="57" spans="1:20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0"/>
      <c r="R57" s="20"/>
      <c r="S57" s="13"/>
      <c r="T57" s="9"/>
    </row>
    <row r="58" spans="1:20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0"/>
      <c r="R58" s="20"/>
      <c r="S58" s="13"/>
      <c r="T58" s="9"/>
    </row>
    <row r="59" spans="1:20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0"/>
      <c r="R59" s="20"/>
      <c r="S59" s="13"/>
      <c r="T59" s="9"/>
    </row>
    <row r="60" spans="1:20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0"/>
      <c r="R60" s="20"/>
      <c r="S60" s="13"/>
      <c r="T60" s="9"/>
    </row>
    <row r="61" spans="1:20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0"/>
      <c r="R61" s="20"/>
      <c r="S61" s="13"/>
      <c r="T61" s="9"/>
    </row>
    <row r="62" spans="1:20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0"/>
      <c r="R62" s="20"/>
      <c r="S62" s="14"/>
      <c r="T62" s="9"/>
    </row>
    <row r="63" spans="1:20" ht="26.2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21"/>
      <c r="R63" s="21"/>
      <c r="S63" s="12"/>
    </row>
    <row r="64" spans="1:20" x14ac:dyDescent="0.2">
      <c r="A64" s="12"/>
      <c r="B64" s="12"/>
      <c r="C64" s="12"/>
      <c r="H64" s="12"/>
      <c r="Q64" s="13"/>
      <c r="R64" s="13"/>
      <c r="S64" s="12"/>
    </row>
    <row r="65" spans="1:19" x14ac:dyDescent="0.2">
      <c r="A65" s="12"/>
      <c r="B65" s="12"/>
      <c r="C65" s="12"/>
      <c r="H65" s="12"/>
      <c r="Q65" s="13"/>
      <c r="R65" s="13"/>
      <c r="S65" s="12"/>
    </row>
    <row r="66" spans="1:19" x14ac:dyDescent="0.2">
      <c r="A66" s="12"/>
      <c r="B66" s="12"/>
      <c r="C66" s="12"/>
      <c r="H66" s="12"/>
      <c r="Q66" s="13"/>
      <c r="R66" s="13"/>
      <c r="S66" s="12"/>
    </row>
    <row r="67" spans="1:19" x14ac:dyDescent="0.2">
      <c r="A67" s="12"/>
      <c r="B67" s="12"/>
      <c r="C67" s="12"/>
      <c r="H67" s="12"/>
      <c r="Q67" s="17"/>
      <c r="R67" s="17"/>
      <c r="S67" s="12"/>
    </row>
    <row r="68" spans="1:19" x14ac:dyDescent="0.2">
      <c r="A68" s="12"/>
      <c r="B68" s="12"/>
      <c r="C68" s="12"/>
      <c r="H68" s="12"/>
      <c r="Q68" s="17"/>
      <c r="R68" s="17"/>
      <c r="S68" s="12"/>
    </row>
    <row r="69" spans="1:19" x14ac:dyDescent="0.2">
      <c r="A69" s="12"/>
      <c r="B69" s="12"/>
      <c r="C69" s="12"/>
      <c r="H69" s="12"/>
      <c r="Q69" s="13"/>
      <c r="R69" s="17"/>
      <c r="S69" s="12"/>
    </row>
    <row r="70" spans="1:19" x14ac:dyDescent="0.2">
      <c r="A70" s="12"/>
      <c r="B70" s="12"/>
      <c r="C70" s="12"/>
      <c r="H70" s="12"/>
      <c r="Q70" s="13"/>
      <c r="R70" s="13"/>
      <c r="S70" s="12"/>
    </row>
    <row r="71" spans="1:19" x14ac:dyDescent="0.2">
      <c r="A71" s="12"/>
      <c r="B71" s="12"/>
      <c r="C71" s="12"/>
      <c r="H71" s="12"/>
      <c r="Q71" s="13"/>
      <c r="R71" s="13"/>
      <c r="S71" s="12"/>
    </row>
    <row r="72" spans="1:19" x14ac:dyDescent="0.2">
      <c r="A72" s="12"/>
      <c r="B72" s="12"/>
      <c r="C72" s="12"/>
      <c r="H72" s="12"/>
      <c r="Q72" s="13"/>
      <c r="R72" s="13"/>
      <c r="S72" s="12"/>
    </row>
    <row r="73" spans="1:19" x14ac:dyDescent="0.2">
      <c r="A73" s="12"/>
      <c r="B73" s="12"/>
      <c r="C73" s="12"/>
      <c r="H73" s="12"/>
      <c r="Q73" s="13"/>
      <c r="R73" s="13"/>
      <c r="S73" s="12"/>
    </row>
    <row r="74" spans="1:19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4"/>
      <c r="R74" s="14"/>
      <c r="S74" s="12"/>
    </row>
    <row r="75" spans="1:19" x14ac:dyDescent="0.2">
      <c r="A75" s="12"/>
      <c r="B75" s="12"/>
      <c r="C75" s="12"/>
      <c r="H75" s="12"/>
      <c r="Q75" s="12"/>
      <c r="R75" s="12"/>
      <c r="S75" s="12"/>
    </row>
    <row r="76" spans="1:19" x14ac:dyDescent="0.2">
      <c r="A76" s="12"/>
      <c r="B76" s="12"/>
      <c r="C76" s="12"/>
      <c r="H76" s="12"/>
      <c r="Q76" s="12"/>
      <c r="R76" s="12"/>
      <c r="S76" s="12"/>
    </row>
    <row r="77" spans="1:19" x14ac:dyDescent="0.2">
      <c r="A77" s="12"/>
      <c r="B77" s="12"/>
      <c r="C77" s="12"/>
      <c r="H77" s="12"/>
      <c r="Q77" s="12"/>
      <c r="R77" s="12"/>
      <c r="S77" s="12"/>
    </row>
    <row r="78" spans="1:19" x14ac:dyDescent="0.2">
      <c r="A78" s="12"/>
      <c r="B78" s="12"/>
      <c r="C78" s="12"/>
      <c r="H78" s="12"/>
      <c r="Q78" s="12"/>
      <c r="R78" s="12"/>
      <c r="S78" s="12"/>
    </row>
    <row r="79" spans="1:19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2"/>
      <c r="R79" s="12"/>
      <c r="S79" s="12"/>
    </row>
    <row r="80" spans="1:19" x14ac:dyDescent="0.2">
      <c r="A80" s="12"/>
      <c r="B80" s="12"/>
      <c r="C80" s="12"/>
      <c r="H80" s="12"/>
      <c r="Q80" s="12"/>
      <c r="R80" s="12"/>
      <c r="S80" s="12"/>
    </row>
    <row r="81" spans="1:19" x14ac:dyDescent="0.2">
      <c r="A81" s="12"/>
      <c r="B81" s="12"/>
      <c r="C81" s="12"/>
      <c r="H81" s="12"/>
      <c r="Q81" s="12"/>
      <c r="R81" s="12"/>
      <c r="S81" s="12"/>
    </row>
  </sheetData>
  <phoneticPr fontId="2" type="noConversion"/>
  <pageMargins left="0.75" right="0.75" top="1" bottom="1" header="0.5" footer="0.5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X47"/>
  <sheetViews>
    <sheetView zoomScale="70" zoomScaleNormal="70" workbookViewId="0">
      <selection activeCell="Q31" sqref="Q31"/>
    </sheetView>
  </sheetViews>
  <sheetFormatPr defaultColWidth="9.28515625" defaultRowHeight="12.75" x14ac:dyDescent="0.2"/>
  <cols>
    <col min="1" max="1" width="24.7109375" customWidth="1"/>
    <col min="2" max="2" width="10.7109375" customWidth="1"/>
    <col min="3" max="3" width="11.5703125" bestFit="1" customWidth="1"/>
    <col min="4" max="6" width="11.5703125" style="9" customWidth="1"/>
    <col min="7" max="7" width="11.42578125" style="9" customWidth="1"/>
    <col min="8" max="16" width="10.7109375" style="9" customWidth="1"/>
  </cols>
  <sheetData>
    <row r="1" spans="1:17" ht="13.5" thickBot="1" x14ac:dyDescent="0.25">
      <c r="A1" s="52" t="s">
        <v>92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49">
        <v>39934</v>
      </c>
    </row>
    <row r="2" spans="1:17" x14ac:dyDescent="0.2">
      <c r="A2" s="53" t="s">
        <v>20</v>
      </c>
      <c r="B2" s="60"/>
      <c r="C2" s="147">
        <f>E2-'[1]EU - variety'!E2</f>
        <v>0</v>
      </c>
      <c r="D2" s="86">
        <f>F2-'[1]EU - variety'!F2</f>
        <v>0</v>
      </c>
      <c r="E2" s="56">
        <f>Italy!E$2</f>
        <v>0</v>
      </c>
      <c r="F2" s="86">
        <f>Italy!F$2</f>
        <v>0</v>
      </c>
      <c r="G2" s="86">
        <f>Italy!G$2</f>
        <v>0</v>
      </c>
      <c r="H2" s="86">
        <f>Italy!H$2</f>
        <v>0</v>
      </c>
      <c r="I2" s="86">
        <f>Italy!I$2</f>
        <v>0</v>
      </c>
      <c r="J2" s="86">
        <f>Italy!J$2</f>
        <v>0</v>
      </c>
      <c r="K2" s="86">
        <f>Italy!K$2</f>
        <v>0</v>
      </c>
      <c r="L2" s="86">
        <f>Italy!L$2</f>
        <v>0</v>
      </c>
      <c r="M2" s="86">
        <f>Italy!M$2</f>
        <v>0</v>
      </c>
      <c r="N2" s="86">
        <f>Italy!N$2</f>
        <v>0</v>
      </c>
      <c r="O2" s="86">
        <f>Italy!O$2</f>
        <v>0</v>
      </c>
      <c r="P2" s="88">
        <f>Italy!P$2</f>
        <v>0</v>
      </c>
      <c r="Q2" s="85"/>
    </row>
    <row r="3" spans="1:17" x14ac:dyDescent="0.2">
      <c r="A3" s="53" t="s">
        <v>4</v>
      </c>
      <c r="B3" s="60">
        <f t="shared" ref="B3:B32" si="0">(E3-F3)/F3</f>
        <v>-0.98676565526145898</v>
      </c>
      <c r="C3" s="147">
        <f>E3-'[1]EU - variety'!E3</f>
        <v>-1672</v>
      </c>
      <c r="D3" s="86">
        <f>F3-'[1]EU - variety'!F3</f>
        <v>-3111</v>
      </c>
      <c r="E3" s="56">
        <f>Austria!E$3+Belgium!E$2+Denmark!E$2+France!E$4+Germany!E$2+Switzerland!E$2+Netherlands!E$2+Poland!E$2</f>
        <v>41</v>
      </c>
      <c r="F3" s="86">
        <f>Austria!F$3+Belgium!F$2+Denmark!F$2+France!F$4+Germany!F$2+Switzerland!F$2+Netherlands!F$2+Poland!F$2</f>
        <v>3098</v>
      </c>
      <c r="G3" s="86">
        <f>Austria!G$3+Belgium!G$2+Denmark!G$2+France!G$4+Germany!G$2+Switzerland!G$2+Netherlands!G$2+Poland!G$2</f>
        <v>132</v>
      </c>
      <c r="H3" s="86">
        <f>Austria!H$3+Belgium!H$2+Denmark!H$2+France!H$4+Germany!H$2+Switzerland!H$2+Netherlands!H$2+Poland!H$2</f>
        <v>1622</v>
      </c>
      <c r="I3" s="86">
        <f>Austria!I$3+Belgium!I$2+Denmark!I$2+France!I$4+Germany!I$2+Switzerland!I$2+Netherlands!I$2+Poland!I$2</f>
        <v>1317</v>
      </c>
      <c r="J3" s="86">
        <f>Austria!J$3+Belgium!J$2+Denmark!J$2+France!J$4+Germany!J$2+Switzerland!J$2+Netherlands!J$2+Poland!J$2</f>
        <v>2002</v>
      </c>
      <c r="K3" s="86">
        <f>Austria!K$3+Belgium!K$2+Denmark!K$2+France!K$4+Germany!K$2+Switzerland!K$2+Netherlands!K$2+Poland!K$2</f>
        <v>1621</v>
      </c>
      <c r="L3" s="86">
        <f>Austria!L$3+Belgium!L$2+Denmark!L$2+France!L$4+Germany!L$2+Switzerland!L$2+Netherlands!L$2+Poland!L$2</f>
        <v>0</v>
      </c>
      <c r="M3" s="86">
        <f>Austria!M$3+Belgium!M$2+Denmark!M$2+France!M$4+Germany!M$2+Switzerland!M$2+Netherlands!M$2+Poland!M$2</f>
        <v>846</v>
      </c>
      <c r="N3" s="86">
        <f>Austria!N$3+Belgium!N$2+Denmark!N$2+France!N$4+Germany!N$2+Switzerland!N$2+Netherlands!N$2+Poland!N$2</f>
        <v>137</v>
      </c>
      <c r="O3" s="86">
        <f>Austria!O$3+Belgium!O$2+Denmark!O$2+France!O$4+Germany!O$2+Switzerland!O$2+Netherlands!O$2+Poland!O$2</f>
        <v>160</v>
      </c>
      <c r="P3" s="88">
        <f>Austria!P$3+Belgium!P$2+Denmark!P$2+Germany!P$2+Switzerland!P$2+Netherlands!P$2+Poland!P$2</f>
        <v>2687</v>
      </c>
      <c r="Q3" s="3"/>
    </row>
    <row r="4" spans="1:17" x14ac:dyDescent="0.2">
      <c r="A4" s="53" t="s">
        <v>11</v>
      </c>
      <c r="B4" s="60">
        <f t="shared" si="0"/>
        <v>-0.34440010342075378</v>
      </c>
      <c r="C4" s="147">
        <f>E4-'[1]EU - variety'!E4</f>
        <v>-27331.260000000002</v>
      </c>
      <c r="D4" s="86">
        <f>F4-'[1]EU - variety'!F4</f>
        <v>-30044.380000000005</v>
      </c>
      <c r="E4" s="56">
        <f>Austria!E$4+France!E$5+Germany!E$3+Italy!E$3+Switzerland!E$3+UK!E$2+'Czech Republic'!E$2</f>
        <v>34992.120000000003</v>
      </c>
      <c r="F4" s="86">
        <f>Austria!F$4+'Czech Republic'!F2+France!F$5+Germany!F$3+Italy!F$3+Switzerland!F$3+UK!F$2</f>
        <v>53374.2</v>
      </c>
      <c r="G4" s="86">
        <f>Austria!G$4+'Czech Republic'!G2+France!G$5+Germany!G$3+Italy!G$3+Switzerland!G$3+UK!G$2</f>
        <v>10438.4</v>
      </c>
      <c r="H4" s="86">
        <f>Austria!H$4+'Czech Republic'!H2+France!H$5+Germany!H$3+Italy!H$3+Switzerland!H$3+UK!H$2</f>
        <v>31678.44</v>
      </c>
      <c r="I4" s="86">
        <f>Austria!I$4+'Czech Republic'!I2+France!I$5+Germany!I$3+Italy!I$3+Switzerland!I$3+UK!I$2</f>
        <v>30804.190000000002</v>
      </c>
      <c r="J4" s="86">
        <f>Austria!J$4+'Czech Republic'!J2+France!J$5+Germany!J$3+Italy!J$3+Switzerland!J$3+UK!J$2</f>
        <v>27731.21</v>
      </c>
      <c r="K4" s="86">
        <f>Austria!K$4+'Czech Republic'!K2+France!K$5+Germany!K$3+Italy!K$3+Switzerland!K$3+UK!K$2</f>
        <v>44195.4</v>
      </c>
      <c r="L4" s="86">
        <f>Austria!L$4+'Czech Republic'!L2+France!L$5+Germany!L$3+Italy!L$3+Switzerland!L$3+UK!L$2</f>
        <v>14734</v>
      </c>
      <c r="M4" s="86">
        <f>Austria!M$4+'Czech Republic'!M2+France!M$5+Germany!M$3+Italy!M$3+Switzerland!M$3+UK!M$2</f>
        <v>40291</v>
      </c>
      <c r="N4" s="86">
        <f>Austria!N$4+'Czech Republic'!N2+France!N$5+Germany!N$3+Italy!N$3+Switzerland!N$3+UK!N$2</f>
        <v>30446</v>
      </c>
      <c r="O4" s="86">
        <f>Austria!O$4+'Czech Republic'!O2+France!O$5+Germany!O$3+Italy!O$3+Switzerland!O$3+UK!O$2</f>
        <v>43455.199999999997</v>
      </c>
      <c r="P4" s="88">
        <f>Austria!P$4+Germany!P$3+Italy!P$3+Switzerland!P$3+UK!P$2</f>
        <v>16063</v>
      </c>
    </row>
    <row r="5" spans="1:17" x14ac:dyDescent="0.2">
      <c r="A5" s="53" t="s">
        <v>36</v>
      </c>
      <c r="B5" s="60">
        <f t="shared" si="0"/>
        <v>-0.42146938775510207</v>
      </c>
      <c r="C5" s="147">
        <f>E5-'[1]EU - variety'!E5</f>
        <v>-4593</v>
      </c>
      <c r="D5" s="86">
        <f>F5-'[1]EU - variety'!F5</f>
        <v>-7550</v>
      </c>
      <c r="E5" s="56">
        <f>UK!E$3</f>
        <v>7087</v>
      </c>
      <c r="F5" s="86">
        <f>UK!F$3</f>
        <v>12250</v>
      </c>
      <c r="G5" s="86">
        <f>UK!G$3</f>
        <v>11000</v>
      </c>
      <c r="H5" s="86">
        <f>UK!H$3</f>
        <v>0</v>
      </c>
      <c r="I5" s="86">
        <f>UK!I$3</f>
        <v>9000</v>
      </c>
      <c r="J5" s="86">
        <f>UK!J$3</f>
        <v>19500</v>
      </c>
      <c r="K5" s="86">
        <f>UK!K$3</f>
        <v>20000</v>
      </c>
      <c r="L5" s="86">
        <f>UK!L$3</f>
        <v>7000</v>
      </c>
      <c r="M5" s="86">
        <f>UK!M$3</f>
        <v>16000</v>
      </c>
      <c r="N5" s="86">
        <f>UK!N$3</f>
        <v>16000</v>
      </c>
      <c r="O5" s="86">
        <f>UK!O$3</f>
        <v>18000</v>
      </c>
      <c r="P5" s="88">
        <f>UK!P$3</f>
        <v>20000</v>
      </c>
    </row>
    <row r="6" spans="1:17" x14ac:dyDescent="0.2">
      <c r="A6" s="53" t="s">
        <v>29</v>
      </c>
      <c r="B6" s="60">
        <f t="shared" si="0"/>
        <v>-0.5719557195571956</v>
      </c>
      <c r="C6" s="147">
        <f>E6-'[1]EU - variety'!E6</f>
        <v>-480</v>
      </c>
      <c r="D6" s="86">
        <f>F6-'[1]EU - variety'!F6</f>
        <v>-1043</v>
      </c>
      <c r="E6" s="56">
        <f>France!E6+UK!E4</f>
        <v>116</v>
      </c>
      <c r="F6" s="86">
        <f>France!F6+UK!F4</f>
        <v>271</v>
      </c>
      <c r="G6" s="86">
        <f>France!G6+UK!G4</f>
        <v>0</v>
      </c>
      <c r="H6" s="86">
        <f>France!H6+UK!H4</f>
        <v>0</v>
      </c>
      <c r="I6" s="86">
        <f>France!I6+UK!I4</f>
        <v>850</v>
      </c>
      <c r="J6" s="86">
        <f>France!J6+UK!J4</f>
        <v>100</v>
      </c>
      <c r="K6" s="86">
        <f>France!K6+UK!K4</f>
        <v>172</v>
      </c>
      <c r="L6" s="86">
        <f>France!L6+UK!L4</f>
        <v>29</v>
      </c>
      <c r="M6" s="86">
        <f>France!M6+UK!M4</f>
        <v>564</v>
      </c>
      <c r="N6" s="86">
        <f>France!N6+UK!N4</f>
        <v>648</v>
      </c>
      <c r="O6" s="86">
        <f>France!O6+UK!O4</f>
        <v>743</v>
      </c>
      <c r="P6" s="88">
        <f>UK!P4</f>
        <v>0</v>
      </c>
    </row>
    <row r="7" spans="1:17" x14ac:dyDescent="0.2">
      <c r="A7" s="53" t="s">
        <v>33</v>
      </c>
      <c r="B7" s="60"/>
      <c r="C7" s="147">
        <f>E7-'[1]EU - variety'!E7</f>
        <v>0</v>
      </c>
      <c r="D7" s="86">
        <f>F7-'[1]EU - variety'!F7</f>
        <v>0</v>
      </c>
      <c r="E7" s="56">
        <f>Poland!E$3</f>
        <v>0</v>
      </c>
      <c r="F7" s="86">
        <f>Poland!F$3</f>
        <v>0</v>
      </c>
      <c r="G7" s="86">
        <f>Poland!G$3</f>
        <v>0</v>
      </c>
      <c r="H7" s="86">
        <f>Poland!H$3</f>
        <v>0</v>
      </c>
      <c r="I7" s="86">
        <f>Poland!I$3</f>
        <v>0</v>
      </c>
      <c r="J7" s="86">
        <f>Poland!J$3</f>
        <v>0</v>
      </c>
      <c r="K7" s="86">
        <f>Poland!K$3</f>
        <v>0</v>
      </c>
      <c r="L7" s="86">
        <f>Poland!L$3</f>
        <v>0</v>
      </c>
      <c r="M7" s="86">
        <f>Poland!M$3</f>
        <v>0</v>
      </c>
      <c r="N7" s="86">
        <f>Poland!N$3</f>
        <v>0</v>
      </c>
      <c r="O7" s="86">
        <f>Poland!O$3</f>
        <v>1000</v>
      </c>
      <c r="P7" s="88">
        <f>Poland!P$3</f>
        <v>500</v>
      </c>
    </row>
    <row r="8" spans="1:17" x14ac:dyDescent="0.2">
      <c r="A8" s="53" t="s">
        <v>5</v>
      </c>
      <c r="B8" s="60">
        <f t="shared" si="0"/>
        <v>-1</v>
      </c>
      <c r="C8" s="147">
        <f>E8-'[1]EU - variety'!E8</f>
        <v>-128</v>
      </c>
      <c r="D8" s="86">
        <f>F8-'[1]EU - variety'!F8</f>
        <v>-301</v>
      </c>
      <c r="E8" s="56">
        <f>Belgium!E$3+Denmark!E$4+Germany!E$4+Switzerland!E$4+UK!E$5</f>
        <v>0</v>
      </c>
      <c r="F8" s="86">
        <f>Belgium!F$3+Denmark!F$4+Germany!F$4+Switzerland!F$4+UK!F$5</f>
        <v>15</v>
      </c>
      <c r="G8" s="86">
        <f>Belgium!G$3+Denmark!G$4+Germany!G$4+Switzerland!G$4+UK!G$5</f>
        <v>0</v>
      </c>
      <c r="H8" s="86">
        <f>Belgium!H$3+Denmark!H$4+Germany!H$4+Switzerland!H$4+UK!H$5</f>
        <v>1</v>
      </c>
      <c r="I8" s="86">
        <f>Belgium!I$3+Denmark!I$4+Germany!I$4+Switzerland!I$4+UK!I$5</f>
        <v>32</v>
      </c>
      <c r="J8" s="86">
        <f>Belgium!J$3+Denmark!J$4+Germany!J$4+Switzerland!J$4+UK!J$5</f>
        <v>0</v>
      </c>
      <c r="K8" s="86">
        <f>Belgium!K$3+Denmark!K$4+Germany!K$4+Switzerland!K$4+UK!K$5</f>
        <v>3</v>
      </c>
      <c r="L8" s="86">
        <f>Belgium!L$3+Denmark!L$4+Germany!L$4+Switzerland!L$4+UK!L$5</f>
        <v>0</v>
      </c>
      <c r="M8" s="86">
        <f>Belgium!M$3+Denmark!M$4+Germany!M$4+Switzerland!M$4+UK!M$5</f>
        <v>0</v>
      </c>
      <c r="N8" s="86">
        <f>Belgium!N$3+Denmark!N$4+Germany!N$4+Switzerland!N$4+UK!N$5</f>
        <v>0</v>
      </c>
      <c r="O8" s="86">
        <f>Belgium!O$3+Denmark!O$4+Germany!O$4+Switzerland!O$4+UK!O$5</f>
        <v>2</v>
      </c>
      <c r="P8" s="88">
        <f>Belgium!P$3+Denmark!P$4+Germany!P$4+Switzerland!P$4+UK!P$5</f>
        <v>11</v>
      </c>
    </row>
    <row r="9" spans="1:17" x14ac:dyDescent="0.2">
      <c r="A9" s="53" t="s">
        <v>61</v>
      </c>
      <c r="B9" s="60">
        <f t="shared" si="0"/>
        <v>-0.13738088360169642</v>
      </c>
      <c r="C9" s="147">
        <f>E9-'[1]EU - variety'!E9</f>
        <v>-34238.800000000003</v>
      </c>
      <c r="D9" s="86">
        <f>F9-'[1]EU - variety'!F9</f>
        <v>-36877.689999999995</v>
      </c>
      <c r="E9" s="56">
        <f>France!E$8+Italy!E$4</f>
        <v>24695.5</v>
      </c>
      <c r="F9" s="86">
        <f>France!F$8+Italy!F$4</f>
        <v>28628.510000000002</v>
      </c>
      <c r="G9" s="86">
        <f>France!G$8+Italy!G$4</f>
        <v>18452.599999999999</v>
      </c>
      <c r="H9" s="86">
        <f>France!H$8+Italy!H$4</f>
        <v>33573.4</v>
      </c>
      <c r="I9" s="86">
        <f>France!I$8+Italy!I$4</f>
        <v>24115</v>
      </c>
      <c r="J9" s="86">
        <f>France!J$8+Italy!J$4</f>
        <v>34255</v>
      </c>
      <c r="K9" s="86">
        <f>France!K$8+Italy!K$4</f>
        <v>19802</v>
      </c>
      <c r="L9" s="86">
        <f>France!L$8+Italy!L$4</f>
        <v>5176</v>
      </c>
      <c r="M9" s="86">
        <f>France!M$8+Italy!M$4</f>
        <v>19109</v>
      </c>
      <c r="N9" s="86">
        <f>France!N$8+Italy!N$4</f>
        <v>10611</v>
      </c>
      <c r="O9" s="86">
        <f>France!O$8+Italy!O$4</f>
        <v>10692</v>
      </c>
      <c r="P9" s="88"/>
    </row>
    <row r="10" spans="1:17" x14ac:dyDescent="0.2">
      <c r="A10" s="53" t="s">
        <v>2</v>
      </c>
      <c r="B10" s="60">
        <f t="shared" si="0"/>
        <v>0.62992198012467804</v>
      </c>
      <c r="C10" s="147">
        <f>E10-'[1]EU - variety'!E10</f>
        <v>-21571</v>
      </c>
      <c r="D10" s="86">
        <f>F10-'[1]EU - variety'!F10</f>
        <v>-20235.437700000002</v>
      </c>
      <c r="E10" s="56">
        <f>Austria!E$5+Belgium!E$4+Denmark!E$5+France!E$9+Germany!E$5+Italy!E$5+Switzerland!E$5+Netherlands!E$3+Poland!E$4</f>
        <v>32142</v>
      </c>
      <c r="F10" s="86">
        <f>Austria!F$5+Belgium!F$4+Denmark!F$5+France!F$9+Germany!F$5+Italy!F$5+Switzerland!F$5+Netherlands!F$3+Poland!F$4</f>
        <v>19719.962299999999</v>
      </c>
      <c r="G10" s="86">
        <f>Austria!G$5+Belgium!G$4+Denmark!G$5+France!G$9+Germany!G$5+Italy!G$5+Switzerland!G$5+Netherlands!G$3+Poland!G$4</f>
        <v>8349.2099999999991</v>
      </c>
      <c r="H10" s="86">
        <f>Austria!H$5+Belgium!H$4+Denmark!H$5+France!H$9+Germany!H$5+Italy!H$5+Switzerland!H$5+Netherlands!H$3+Poland!H$4</f>
        <v>26724</v>
      </c>
      <c r="I10" s="86">
        <f>Austria!I$5+Belgium!I$4+Denmark!I$5+France!I$9+Germany!I$5+Italy!I$5+Switzerland!I$5+Netherlands!I$3+Poland!I$4</f>
        <v>25745.489999999998</v>
      </c>
      <c r="J10" s="86">
        <f>Austria!J$5+Belgium!J$4+Denmark!J$5+France!J$9+Germany!J$5+Italy!J$5+Switzerland!J$5+Netherlands!J$3+Poland!J$4</f>
        <v>39603.160000000003</v>
      </c>
      <c r="K10" s="86">
        <f>Austria!K$5+Belgium!K$4+Denmark!K$5+France!K$9+Germany!K$5+Italy!K$5+Switzerland!K$5+Netherlands!K$3+Poland!K$4</f>
        <v>24471.17</v>
      </c>
      <c r="L10" s="86">
        <f>Austria!L$5+Belgium!L$4+Denmark!L$5+France!L$9+Germany!L$5+Italy!L$5+Switzerland!L$5+Netherlands!L$3+Poland!L$4</f>
        <v>12898</v>
      </c>
      <c r="M10" s="86">
        <f>Austria!M$5+Belgium!M$4+Denmark!M$5+France!M$9+Germany!M$5+Italy!M$5+Switzerland!M$5+Netherlands!M$3+Poland!M$4</f>
        <v>26886</v>
      </c>
      <c r="N10" s="86">
        <f>Austria!N$5+Belgium!N$4+Denmark!N$5+France!N$9+Germany!N$5+Italy!N$5+Switzerland!N$5+Netherlands!N$3+Poland!N$4</f>
        <v>17555</v>
      </c>
      <c r="O10" s="86">
        <f>Austria!O$5+Belgium!O$4+Denmark!O$5+France!O$9+Germany!O$5+Italy!O$5+Switzerland!O$5+Netherlands!O$3+Poland!O$4</f>
        <v>31642</v>
      </c>
      <c r="P10" s="88">
        <f>Austria!P$5+Belgium!P$4+Denmark!P$5+Germany!P$5+Italy!P$5+Switzerland!P$5+Netherlands!P$3+Poland!P$4</f>
        <v>24569</v>
      </c>
    </row>
    <row r="11" spans="1:17" x14ac:dyDescent="0.2">
      <c r="A11" s="53" t="s">
        <v>12</v>
      </c>
      <c r="B11" s="60">
        <f t="shared" si="0"/>
        <v>-0.36394078967760923</v>
      </c>
      <c r="C11" s="147">
        <f>E11-'[1]EU - variety'!E11</f>
        <v>-33596.402340618581</v>
      </c>
      <c r="D11" s="86">
        <f>F11-'[1]EU - variety'!F11</f>
        <v>-28570.870012697611</v>
      </c>
      <c r="E11" s="56">
        <f>Austria!E$7+Denmark!E$6+France!E$10+Germany!E$6+Italy!E$6+Spain!E$2</f>
        <v>37614.054698877393</v>
      </c>
      <c r="F11" s="86">
        <f>Austria!F$7+Denmark!F$6+France!F$10+Germany!F$6+Italy!F$6+Spain!F$2</f>
        <v>59136.089987302381</v>
      </c>
      <c r="G11" s="86">
        <f>Austria!G$7+Denmark!G$6+France!G$10+Germany!G$6+Italy!G$6+Spain!G$2</f>
        <v>26160.6</v>
      </c>
      <c r="H11" s="86">
        <f>Austria!H$7+Denmark!H$6+France!H$10+Germany!H$6+Italy!H$6+Spain!H$2</f>
        <v>38218.637997085338</v>
      </c>
      <c r="I11" s="86">
        <f>Austria!I$7+Denmark!I$6+France!I$10+Germany!I$6+Italy!I$6+Spain!I$2</f>
        <v>52313.415339949024</v>
      </c>
      <c r="J11" s="86">
        <f>Austria!J$7+Denmark!J$6+France!J$10+Germany!J$6+Italy!J$6+Spain!J$2</f>
        <v>34509.861021672827</v>
      </c>
      <c r="K11" s="86">
        <f>Austria!K$7+Denmark!K$6+France!K$10+Germany!K$6+Italy!K$6+Spain!K$2</f>
        <v>53960.86750188427</v>
      </c>
      <c r="L11" s="86">
        <f>Austria!L$7+Denmark!L$6+France!L$10+Germany!L$6+Italy!L$6+Spain!L$2</f>
        <v>15890.655121871958</v>
      </c>
      <c r="M11" s="86">
        <f>Austria!M$7+Denmark!M$6+France!M$10+Germany!M$6+Italy!M$6+Spain!M$2</f>
        <v>30614</v>
      </c>
      <c r="N11" s="86">
        <f>Austria!N$7+Denmark!N$6+France!N$10+Germany!N$6+Italy!N$6+Spain!N$2</f>
        <v>41306.753939274226</v>
      </c>
      <c r="O11" s="86">
        <f>Austria!O$7+Denmark!O$6+France!O$10+Germany!O$6+Italy!O$6+Spain!O$2</f>
        <v>26115.919999999998</v>
      </c>
      <c r="P11" s="88">
        <f>Austria!P$7+Denmark!P$6+Germany!P$6+Italy!P$6+Spain!P$2</f>
        <v>17860.599999999999</v>
      </c>
    </row>
    <row r="12" spans="1:17" x14ac:dyDescent="0.2">
      <c r="A12" s="53" t="s">
        <v>9</v>
      </c>
      <c r="B12" s="60">
        <f t="shared" si="0"/>
        <v>-6.019488271594433E-2</v>
      </c>
      <c r="C12" s="147">
        <f>E12-'[1]EU - variety'!E12</f>
        <v>-50972.950448014817</v>
      </c>
      <c r="D12" s="86">
        <f>F12-'[1]EU - variety'!F12</f>
        <v>-63629.599999999991</v>
      </c>
      <c r="E12" s="56">
        <f>Austria!E$8+'Czech Republic'!E$3+Denmark!E$7+France!E$11+Germany!E$7+Italy!E$7+Spain!E$3+Switzerland!E$6+UK!E$6+Poland!E$5</f>
        <v>47526.226722589883</v>
      </c>
      <c r="F12" s="86">
        <f>Austria!F$8+'Czech Republic'!F$3+Denmark!F$7+France!F$11+Germany!F$7+Italy!F$7+Spain!F$3+Switzerland!F$6+UK!F$6+Poland!F$5</f>
        <v>50570.3</v>
      </c>
      <c r="G12" s="86">
        <f>Austria!G$8+'Czech Republic'!G$3+Denmark!G$7+France!G$11+Germany!G$7+Italy!G$7+Spain!G$3+Switzerland!G$6+UK!G$6+Poland!G$5</f>
        <v>20546</v>
      </c>
      <c r="H12" s="86">
        <f>Austria!H$8+'Czech Republic'!H$3+Denmark!H$7+France!H$11+Germany!H$7+Italy!H$7+Spain!H$3+Switzerland!H$6+UK!H$6+Poland!H$5</f>
        <v>24215.96</v>
      </c>
      <c r="I12" s="86">
        <f>Austria!I$8+'Czech Republic'!I$3+Denmark!I$7+France!I$11+Germany!I$7+Italy!I$7+Spain!I$3+Switzerland!I$6+UK!I$6+Poland!I$5</f>
        <v>27908.800855748683</v>
      </c>
      <c r="J12" s="86">
        <f>Austria!J$8+'Czech Republic'!J$3+Denmark!J$7+France!J$11+Germany!J$7+Italy!J$7+Spain!J$3+Switzerland!J$6+UK!J$6+Poland!J$5</f>
        <v>26082.533281780474</v>
      </c>
      <c r="K12" s="86">
        <f>Austria!K$8+'Czech Republic'!K$3+Denmark!K$7+France!K$11+Germany!K$7+Italy!K$7+Spain!K$3+Switzerland!K$6+UK!K$6+Poland!K$5</f>
        <v>39859.016060743612</v>
      </c>
      <c r="L12" s="86">
        <f>Austria!L$8+'Czech Republic'!L$3+Denmark!L$7+France!L$11+Germany!L$7+Italy!L$7+Spain!L$3+Switzerland!L$6+UK!L$6+Poland!L$5</f>
        <v>13602</v>
      </c>
      <c r="M12" s="86">
        <f>Austria!M$8+'Czech Republic'!M$3+Denmark!M$7+France!M$11+Germany!M$7+Italy!M$7+Spain!M$3+Switzerland!M$6+UK!M$6+Poland!M$5</f>
        <v>21774.468467897688</v>
      </c>
      <c r="N12" s="86">
        <f>Austria!N$8+'Czech Republic'!N$3+Denmark!N$7+France!N$11+Germany!N$7+Italy!N$7+Spain!N$3+Switzerland!N$6+UK!N$6+Poland!N$5</f>
        <v>30773.939805688682</v>
      </c>
      <c r="O12" s="86">
        <f>Austria!O$8+'Czech Republic'!O$3+Denmark!O$7+France!O$11+Germany!O$7+Italy!O$7+Spain!O$3+Switzerland!O$6+UK!O$6+Poland!O$5</f>
        <v>29817</v>
      </c>
      <c r="P12" s="88">
        <f>Austria!P$8+'Czech Republic'!P$3+Denmark!P$7+Germany!P$7+Italy!P$7+Spain!P$3+Switzerland!P$6+UK!P$6+Poland!P$5</f>
        <v>15195</v>
      </c>
    </row>
    <row r="13" spans="1:17" x14ac:dyDescent="0.2">
      <c r="A13" s="53" t="s">
        <v>14</v>
      </c>
      <c r="B13" s="60">
        <f t="shared" si="0"/>
        <v>-0.14008755472170106</v>
      </c>
      <c r="C13" s="147">
        <f>E13-'[1]EU - variety'!E13</f>
        <v>-18106</v>
      </c>
      <c r="D13" s="86">
        <f>F13-'[1]EU - variety'!F13</f>
        <v>-15453</v>
      </c>
      <c r="E13" s="56">
        <f>Austria!E$9+Belgium!E$5+'Czech Republic'!E$4+Denmark!E$8+Germany!E$8+Italy!E$8+Poland!E$6</f>
        <v>22000</v>
      </c>
      <c r="F13" s="86">
        <f>Austria!F$9+Belgium!F$5+'Czech Republic'!F$4+Denmark!F$8+Germany!F$8+Italy!F$8+Poland!F$6</f>
        <v>25584</v>
      </c>
      <c r="G13" s="86">
        <f>Austria!G$9+Belgium!G$5+'Czech Republic'!G$4+Denmark!G$8+Germany!G$8+Italy!G$8+Poland!G$6</f>
        <v>25218</v>
      </c>
      <c r="H13" s="86">
        <f>Austria!H$9+Belgium!H$5+'Czech Republic'!H$4+Denmark!H$8+Germany!H$8+Italy!H$8+Poland!H$6</f>
        <v>25217</v>
      </c>
      <c r="I13" s="86">
        <f>Austria!I$9+Belgium!I$5+'Czech Republic'!I$4+Denmark!I$8+Germany!I$8+Italy!I$8+Poland!I$6</f>
        <v>25566</v>
      </c>
      <c r="J13" s="86">
        <f>Austria!J$9+Belgium!J$5+'Czech Republic'!J$4+Denmark!J$8+Germany!J$8+Italy!J$8+Poland!J$6</f>
        <v>20501</v>
      </c>
      <c r="K13" s="86">
        <f>Austria!K$9+Belgium!K$5+'Czech Republic'!K$4+Denmark!K$8+Germany!K$8+Italy!K$8+Poland!K$6</f>
        <v>20275</v>
      </c>
      <c r="L13" s="86">
        <f>Austria!L$9+Belgium!L$5+'Czech Republic'!L$4+Denmark!L$8+Germany!L$8+Italy!L$8+Poland!L$6</f>
        <v>15122</v>
      </c>
      <c r="M13" s="86">
        <f>Austria!M$9+Belgium!M$5+'Czech Republic'!M$4+Denmark!M$8+Germany!M$8+Italy!M$8+Poland!M$6</f>
        <v>20501</v>
      </c>
      <c r="N13" s="86">
        <f>Austria!N$9+Belgium!N$5+'Czech Republic'!N$4+Denmark!N$8+Germany!N$8+Italy!N$8+Poland!N$6</f>
        <v>3940</v>
      </c>
      <c r="O13" s="86">
        <f>Austria!O$9+Belgium!O$5+'Czech Republic'!O$4+Denmark!O$8+Germany!O$8+Italy!O$8+Poland!O$6</f>
        <v>3179.97</v>
      </c>
      <c r="P13" s="88">
        <f>Austria!P$9+Belgium!P$5+'Czech Republic'!P$4+Denmark!P$8+Germany!P$8+Italy!P$8+Poland!P$6</f>
        <v>2719.5</v>
      </c>
    </row>
    <row r="14" spans="1:17" x14ac:dyDescent="0.2">
      <c r="A14" s="53" t="s">
        <v>3</v>
      </c>
      <c r="B14" s="60">
        <f t="shared" si="0"/>
        <v>-0.10178161015208247</v>
      </c>
      <c r="C14" s="147">
        <f>E14-'[1]EU - variety'!E14</f>
        <v>-174168.87457408785</v>
      </c>
      <c r="D14" s="86">
        <f>F14-'[1]EU - variety'!F14</f>
        <v>-143622.30857532506</v>
      </c>
      <c r="E14" s="56">
        <f>Austria!E$10+Belgium!E$6+'Czech Republic'!E$5+France!E$12+Germany!E$9+Italy!E$9+Spain!E$4+Switzerland!E$8+Netherlands!E$4+Poland!E$7</f>
        <v>472426.30786902312</v>
      </c>
      <c r="F14" s="86">
        <f>Austria!F$10+Belgium!F$6+'Czech Republic'!F$5+France!F$12+Germany!F$9+Italy!F$9+Spain!F$4+Switzerland!F$8+Netherlands!F$4+Poland!F$7</f>
        <v>525959.29142467491</v>
      </c>
      <c r="G14" s="86">
        <f>Austria!G$10+Belgium!G$6+'Czech Republic'!G$5+France!G$12+Germany!G$9+Italy!G$9+Spain!G$4+Switzerland!G$8+Netherlands!G$4+Poland!G$7</f>
        <v>298747.88199999998</v>
      </c>
      <c r="H14" s="86">
        <f>Austria!H$10+Belgium!H$6+'Czech Republic'!H$5+France!H$12+Germany!H$9+Italy!H$9+Spain!H$4+Switzerland!H$8+Netherlands!H$4+Poland!H$7</f>
        <v>573675.61</v>
      </c>
      <c r="I14" s="86">
        <f>Austria!I$10+Belgium!I$6+'Czech Republic'!I$5+France!I$12+Germany!I$9+Italy!I$9+Spain!I$4+Switzerland!I$8+Netherlands!I$4+Poland!I$7</f>
        <v>543635.77346553735</v>
      </c>
      <c r="J14" s="86">
        <f>Austria!J$10+Belgium!J$6+'Czech Republic'!J$5+France!J$12+Germany!J$9+Italy!J$9+Spain!J$4+Switzerland!J$8+Netherlands!J$4+Poland!J$7</f>
        <v>551931.06475425279</v>
      </c>
      <c r="K14" s="86">
        <f>Austria!K$10+Belgium!K$6+'Czech Republic'!K$5+France!K$12+Germany!K$9+Italy!K$9+Spain!K$4+Switzerland!K$8+Netherlands!K$4+Poland!K$7</f>
        <v>508112.42759091075</v>
      </c>
      <c r="L14" s="86">
        <f>Austria!L$10+Belgium!L$6+'Czech Republic'!L$5+France!L$12+Germany!L$9+Italy!L$9+Spain!L$4+Switzerland!L$8+Netherlands!L$4+Poland!L$7</f>
        <v>362648.51578373095</v>
      </c>
      <c r="M14" s="86">
        <f>Austria!M$10+Belgium!M$6+'Czech Republic'!M$5+France!M$12+Germany!M$9+Italy!M$9+Spain!M$4+Switzerland!M$8+Netherlands!M$4+Poland!M$7</f>
        <v>504071.84967461764</v>
      </c>
      <c r="N14" s="86">
        <f>Austria!N$10+Belgium!N$6+'Czech Republic'!N$5+France!N$12+Germany!N$9+Italy!N$9+Spain!N$4+Switzerland!N$8+Netherlands!N$4+Poland!N$7</f>
        <v>447178.05535728042</v>
      </c>
      <c r="O14" s="86">
        <f>Austria!O$10+Belgium!O$6+'Czech Republic'!O$5+France!O$12+Germany!O$9+Italy!O$9+Spain!O$4+Switzerland!O$8+Netherlands!O$4+Poland!O$7</f>
        <v>488254.64</v>
      </c>
      <c r="P14" s="88">
        <f>Austria!P$10+Belgium!P$6+'Czech Republic'!P$5+Germany!P$9+Italy!P$9+Spain!P$4+Switzerland!P$8+Netherlands!P$4+Poland!P$7</f>
        <v>432461.6</v>
      </c>
    </row>
    <row r="15" spans="1:17" x14ac:dyDescent="0.2">
      <c r="A15" s="53" t="s">
        <v>17</v>
      </c>
      <c r="B15" s="60">
        <f t="shared" si="0"/>
        <v>-0.15849668442423903</v>
      </c>
      <c r="C15" s="147">
        <f>E15-'[1]EU - variety'!E15</f>
        <v>-21561.413802715339</v>
      </c>
      <c r="D15" s="86">
        <f>F15-'[1]EU - variety'!F15</f>
        <v>-25727.013938989148</v>
      </c>
      <c r="E15" s="56">
        <f>Austria!E$11+France!E$14+Italy!E$10+Spain!E$5+Switzerland!E$9+Denmark!E$9</f>
        <v>49272.481417003015</v>
      </c>
      <c r="F15" s="86">
        <f>Austria!F$11+France!F$14+Italy!F$10+Spain!F$5+Switzerland!F$9</f>
        <v>58552.926061010854</v>
      </c>
      <c r="G15" s="86">
        <f>Austria!G$11+France!G$14+Italy!G$10+Spain!G$5+Switzerland!G$9</f>
        <v>55262.8</v>
      </c>
      <c r="H15" s="86">
        <f>Austria!H$11+France!H$14+Italy!H$10+Spain!H$5+Switzerland!H$9</f>
        <v>43548.264999999999</v>
      </c>
      <c r="I15" s="86">
        <f>Austria!I$11+France!I$14+Italy!I$10+Spain!I$5+Switzerland!I$9</f>
        <v>64073.49161046822</v>
      </c>
      <c r="J15" s="86">
        <f>Austria!J$11+France!J$14+Italy!J$10+Spain!J$5+Switzerland!J$9</f>
        <v>47024.074976946766</v>
      </c>
      <c r="K15" s="86">
        <f>Austria!K$11+France!K$14+Italy!K$10+Spain!K$5+Switzerland!K$9</f>
        <v>50395.071770888928</v>
      </c>
      <c r="L15" s="86">
        <f>Austria!L$11+France!L$14+Italy!L$10+Spain!L$5+Switzerland!L$9</f>
        <v>18510.972707097513</v>
      </c>
      <c r="M15" s="86">
        <f>Austria!M$11+France!M$14+Italy!M$10+Spain!M$5+Switzerland!M$9</f>
        <v>34688.351480444566</v>
      </c>
      <c r="N15" s="86">
        <f>Austria!N$11+France!N$14+Italy!N$10+Spain!N$5+Switzerland!N$9</f>
        <v>23257.843937410358</v>
      </c>
      <c r="O15" s="86">
        <f>Austria!O$11+France!O$14+Italy!O$10+Spain!O$5+Switzerland!O$9</f>
        <v>25663.040000000001</v>
      </c>
      <c r="P15" s="88">
        <f>Austria!P$11++Italy!P$10+Spain!P$5+Switzerland!P$9</f>
        <v>12250</v>
      </c>
    </row>
    <row r="16" spans="1:17" x14ac:dyDescent="0.2">
      <c r="A16" s="53" t="s">
        <v>15</v>
      </c>
      <c r="B16" s="60"/>
      <c r="C16" s="147">
        <f>E16-'[1]EU - variety'!E16</f>
        <v>0</v>
      </c>
      <c r="D16" s="86">
        <f>F16-'[1]EU - variety'!F16</f>
        <v>-35</v>
      </c>
      <c r="E16" s="56">
        <f>Denmark!E$10+Germany!E$10</f>
        <v>0</v>
      </c>
      <c r="F16" s="86">
        <f>Denmark!F$9+Germany!F$10</f>
        <v>0</v>
      </c>
      <c r="G16" s="86">
        <f>Denmark!G$9+Germany!G$10</f>
        <v>0</v>
      </c>
      <c r="H16" s="86">
        <f>Denmark!H$9+Germany!H$10</f>
        <v>0</v>
      </c>
      <c r="I16" s="86">
        <f>Denmark!I$9+Germany!I$10</f>
        <v>0</v>
      </c>
      <c r="J16" s="86">
        <f>Denmark!J$9+Germany!J$10</f>
        <v>0</v>
      </c>
      <c r="K16" s="86">
        <f>Denmark!K$9+Germany!K$10</f>
        <v>0</v>
      </c>
      <c r="L16" s="86">
        <f>Denmark!L$9+Germany!L$10</f>
        <v>0</v>
      </c>
      <c r="M16" s="86">
        <f>Denmark!M$9+Germany!M$10</f>
        <v>0</v>
      </c>
      <c r="N16" s="86">
        <f>Denmark!N$9+Germany!N$10</f>
        <v>30</v>
      </c>
      <c r="O16" s="86">
        <f>Denmark!O$9+Germany!O$10</f>
        <v>0</v>
      </c>
      <c r="P16" s="88">
        <f>Denmark!P$9+Germany!P$10</f>
        <v>0</v>
      </c>
    </row>
    <row r="17" spans="1:102" x14ac:dyDescent="0.2">
      <c r="A17" s="53" t="s">
        <v>10</v>
      </c>
      <c r="B17" s="60">
        <f t="shared" si="0"/>
        <v>-0.56592024398133167</v>
      </c>
      <c r="C17" s="147">
        <f>E17-'[1]EU - variety'!E17</f>
        <v>-32921.479999999996</v>
      </c>
      <c r="D17" s="86">
        <f>F17-'[1]EU - variety'!F17</f>
        <v>-83793.580000000016</v>
      </c>
      <c r="E17" s="56">
        <f>Austria!E$12+'Czech Republic'!E$6+Denmark!E$11+France!E$16+Germany!E$11+Italy!E$11+Switzerland!E$10+Poland!E$8</f>
        <v>56363.520000000004</v>
      </c>
      <c r="F17" s="86">
        <f>Austria!F$12+'Czech Republic'!F$6+Denmark!F$10+France!F$16+Germany!F$11+Italy!F$11+Switzerland!F$10+Poland!F$8</f>
        <v>129846</v>
      </c>
      <c r="G17" s="86">
        <f>Austria!G$12+'Czech Republic'!G$6+Denmark!G$10+France!G$16+Germany!G$11+Italy!G$11+Switzerland!G$10+Poland!G$8</f>
        <v>68377</v>
      </c>
      <c r="H17" s="86">
        <f>Austria!H$12+'Czech Republic'!H$6+Denmark!H$10+France!H$16+Germany!H$11+Italy!H$11+Switzerland!H$10+Poland!H$8</f>
        <v>114048.01</v>
      </c>
      <c r="I17" s="86">
        <f>Austria!I$12+'Czech Republic'!I$6+Denmark!I$10+France!I$16+Germany!I$11+Italy!I$11+Switzerland!I$10+Poland!I$8</f>
        <v>140206.59</v>
      </c>
      <c r="J17" s="86">
        <f>Austria!J$12+'Czech Republic'!J$6+Denmark!J$10+France!J$16+Germany!J$11+Italy!J$11+Switzerland!J$10+Poland!J$8</f>
        <v>83461.31</v>
      </c>
      <c r="K17" s="86">
        <f>Austria!K$12+'Czech Republic'!K$6+Denmark!K$10+France!K$16+Germany!K$11+Italy!K$11+Switzerland!K$10+Poland!K$8</f>
        <v>105830.43</v>
      </c>
      <c r="L17" s="86">
        <f>Austria!L$12+'Czech Republic'!L$6+Denmark!L$10+France!L$16+Germany!L$11+Italy!L$11+Switzerland!L$10+Poland!L$8</f>
        <v>84615</v>
      </c>
      <c r="M17" s="86">
        <f>Austria!M$12+'Czech Republic'!M$6+Denmark!M$10+France!M$16+Germany!M$11+Italy!M$11+Switzerland!M$10+Poland!M$8</f>
        <v>88715</v>
      </c>
      <c r="N17" s="86">
        <f>Austria!N$12+'Czech Republic'!N$6+Denmark!N$10+France!N$16+Germany!N$11+Italy!N$11+Switzerland!N$10+Poland!N$8</f>
        <v>45416</v>
      </c>
      <c r="O17" s="86">
        <f>Austria!O$12+'Czech Republic'!O$6+Denmark!O$10+France!O$16+Germany!O$11+Italy!O$11+Switzerland!O$10+Poland!O$8</f>
        <v>87074.06</v>
      </c>
      <c r="P17" s="88">
        <f>Austria!P$12+'Czech Republic'!P$6+Denmark!P$10+Germany!P$11+Italy!P$11+Switzerland!P$10+Poland!P$8</f>
        <v>64068</v>
      </c>
      <c r="Q17" s="1"/>
    </row>
    <row r="18" spans="1:102" x14ac:dyDescent="0.2">
      <c r="A18" s="53" t="s">
        <v>27</v>
      </c>
      <c r="B18" s="60">
        <f t="shared" si="0"/>
        <v>-0.25753857494645721</v>
      </c>
      <c r="C18" s="147">
        <f>E18-'[1]EU - variety'!E18</f>
        <v>-22583.439999999988</v>
      </c>
      <c r="D18" s="86">
        <f>F18-'[1]EU - variety'!F18</f>
        <v>-28103.853200000012</v>
      </c>
      <c r="E18" s="56">
        <f>Austria!E$13+Belgium!E$7+'Czech Republic'!E$7+Denmark!E$13+France!E$18+Germany!E$13+Italy!E$12+Switzerland!E$11+Netherlands!E$5+UK!E$7+Poland!E$9</f>
        <v>81519.760000000009</v>
      </c>
      <c r="F18" s="86">
        <f>Austria!F$13+Belgium!F$7+'Czech Republic'!F$7+Denmark!F$12+France!F$18+Germany!F$13+Italy!F$12+Switzerland!F$11+Netherlands!F$5+UK!F$7+Poland!F$9</f>
        <v>109796.6268</v>
      </c>
      <c r="G18" s="86">
        <f>Austria!G$13+Belgium!G$7+'Czech Republic'!G$7+Denmark!G$12+France!G$18+Germany!G$13+Italy!G$12+Switzerland!G$11+Netherlands!G$5+UK!G$7+Poland!G$9</f>
        <v>41981.937000000005</v>
      </c>
      <c r="H18" s="86">
        <f>Austria!H$13+Belgium!H$7+'Czech Republic'!H$7+Denmark!H$12+France!H$18+Germany!H$13+Italy!H$12+Switzerland!H$11+Netherlands!H$5+UK!H$7+Poland!H$9</f>
        <v>110138.18</v>
      </c>
      <c r="I18" s="86">
        <f>Austria!I$13+Belgium!I$7+'Czech Republic'!I$7+Denmark!I$12+France!I$18+Germany!I$13+Italy!I$12+Switzerland!I$11+Netherlands!I$5+UK!I$7+Poland!I$9</f>
        <v>131567.1</v>
      </c>
      <c r="J18" s="86">
        <f>Austria!J$13+Belgium!J$7+'Czech Republic'!J$7+Denmark!J$12+France!J$18+Germany!J$13+Italy!J$12+Switzerland!J$11+Netherlands!J$5+UK!J$7+Poland!J$9</f>
        <v>136033.47</v>
      </c>
      <c r="K18" s="86">
        <f>Austria!K$13+Belgium!K$7+'Czech Republic'!K$7+Denmark!K$12+France!K$18+Germany!K$13+Italy!K$12+Switzerland!K$11+Netherlands!K$5+UK!K$7+Poland!K$9</f>
        <v>120665.58</v>
      </c>
      <c r="L18" s="86">
        <f>Austria!L$13+Belgium!L$7+'Czech Republic'!L$7+Denmark!L$13+France!L$18+Germany!L$13+Italy!L$12+Switzerland!L$11+Netherlands!L$5+UK!L$7+Poland!L$9</f>
        <v>97895</v>
      </c>
      <c r="M18" s="86">
        <f>Austria!M$13+Belgium!M$7+'Czech Republic'!M$7+Denmark!M$13+France!M$18+Germany!M$13+Italy!M$12+Switzerland!M$11+Netherlands!M$5+UK!M$7+Poland!M$9</f>
        <v>143143</v>
      </c>
      <c r="N18" s="86">
        <f>Austria!N$13+Belgium!N$7+'Czech Republic'!N$7+Denmark!N$13+France!N$18+Germany!N$13+Italy!N$12+Switzerland!N$11+Netherlands!N$5+UK!N$7+Poland!N$9</f>
        <v>96459</v>
      </c>
      <c r="O18" s="86">
        <f>Austria!O$13+Belgium!O$7+'Czech Republic'!O$7+Denmark!O$12+France!O$18+Germany!O$13+Italy!O$12+Switzerland!O$11+Netherlands!O$5+UK!O$7+Poland!O$9</f>
        <v>172572.89</v>
      </c>
      <c r="P18" s="88">
        <f>Austria!P$13+Belgium!P$7+'Czech Republic'!P$7+Denmark!P$12+Germany!P$13+Italy!P$12+Switzerland!P$11+Netherlands!P$5+UK!P$7+Poland!P$9</f>
        <v>183749</v>
      </c>
      <c r="Q18" s="1"/>
    </row>
    <row r="19" spans="1:102" x14ac:dyDescent="0.2">
      <c r="A19" s="53" t="s">
        <v>26</v>
      </c>
      <c r="B19" s="60">
        <f t="shared" si="0"/>
        <v>-0.26719393371111744</v>
      </c>
      <c r="C19" s="147">
        <f>E19-'[1]EU - variety'!E19</f>
        <v>-6601</v>
      </c>
      <c r="D19" s="86">
        <f>F19-'[1]EU - variety'!F19</f>
        <v>-12062</v>
      </c>
      <c r="E19" s="56">
        <f>Austria!E$14+Belgium!E$8+Denmark!E$14+Germany!E$14+UK!E$8</f>
        <v>35950</v>
      </c>
      <c r="F19" s="86">
        <f>Austria!F$14+Belgium!F$8+Denmark!F$13+Germany!F$14+UK!F$8</f>
        <v>49058</v>
      </c>
      <c r="G19" s="86">
        <f>Austria!G$14+Belgium!G$8+Denmark!G$13+Germany!G$14+UK!G$8</f>
        <v>8279</v>
      </c>
      <c r="H19" s="86">
        <f>Austria!H$14+Belgium!H$8+Denmark!H$13+Germany!H$14+UK!H$8</f>
        <v>42652</v>
      </c>
      <c r="I19" s="86">
        <f>Austria!I$14+Belgium!I$8+Denmark!I$13+Germany!I$14+UK!I$8</f>
        <v>45672.28</v>
      </c>
      <c r="J19" s="86">
        <f>Austria!J$14+Belgium!J$8+Denmark!J$13+Germany!J$14+UK!J$8</f>
        <v>54770.080000000002</v>
      </c>
      <c r="K19" s="86">
        <f>Austria!K$14+Belgium!K$8+Denmark!K$13+Germany!K$14+UK!K$8</f>
        <v>34404.839999999997</v>
      </c>
      <c r="L19" s="86">
        <f>Austria!L$14+Belgium!L$8+Denmark!L$14+Germany!L$14+UK!L$8</f>
        <v>42407</v>
      </c>
      <c r="M19" s="86">
        <f>Austria!M$14+Belgium!M$8+Denmark!M$14+Germany!M$14+UK!M$8</f>
        <v>50737</v>
      </c>
      <c r="N19" s="86">
        <f>Austria!N$14+Belgium!N$8+Denmark!N$14+Germany!N$14+UK!N$8</f>
        <v>32530</v>
      </c>
      <c r="O19" s="86">
        <f>Austria!O$14+Belgium!O$8+Denmark!O$13+Germany!O$14+UK!O$8</f>
        <v>49181</v>
      </c>
      <c r="P19" s="88">
        <f>Austria!P$14+Belgium!P$8+Denmark!P$13+Germany!P$14+UK!P$8</f>
        <v>48534</v>
      </c>
    </row>
    <row r="20" spans="1:102" x14ac:dyDescent="0.2">
      <c r="A20" s="53" t="s">
        <v>50</v>
      </c>
      <c r="B20" s="60"/>
      <c r="C20" s="147">
        <f>E20-'[1]EU - variety'!E20</f>
        <v>0</v>
      </c>
      <c r="D20" s="86">
        <f>F20-'[1]EU - variety'!F20</f>
        <v>0</v>
      </c>
      <c r="E20" s="56">
        <f>Italy!E$13</f>
        <v>0</v>
      </c>
      <c r="F20" s="86">
        <f>Italy!F$13</f>
        <v>0</v>
      </c>
      <c r="G20" s="86">
        <f>Italy!G$13</f>
        <v>0</v>
      </c>
      <c r="H20" s="86">
        <f>Italy!H$13</f>
        <v>0</v>
      </c>
      <c r="I20" s="86">
        <f>Italy!I$13</f>
        <v>0</v>
      </c>
      <c r="J20" s="86">
        <f>Italy!J$13</f>
        <v>5</v>
      </c>
      <c r="K20" s="86">
        <f>Italy!K$13</f>
        <v>0</v>
      </c>
      <c r="L20" s="86">
        <f>Italy!L$13</f>
        <v>0</v>
      </c>
      <c r="M20" s="86">
        <f>Italy!M$13</f>
        <v>0</v>
      </c>
      <c r="N20" s="86">
        <f>Italy!N$13</f>
        <v>0</v>
      </c>
      <c r="O20" s="86">
        <f>Italy!O$13</f>
        <v>2</v>
      </c>
      <c r="P20" s="88">
        <f>Italy!P$13</f>
        <v>0</v>
      </c>
      <c r="S20" s="16"/>
    </row>
    <row r="21" spans="1:102" x14ac:dyDescent="0.2">
      <c r="A21" s="53" t="s">
        <v>34</v>
      </c>
      <c r="B21" s="60"/>
      <c r="C21" s="147">
        <f>E21-'[1]EU - variety'!E21</f>
        <v>0</v>
      </c>
      <c r="D21" s="86">
        <f>F21-'[1]EU - variety'!F21</f>
        <v>0</v>
      </c>
      <c r="E21" s="56">
        <f>Poland!E$11</f>
        <v>0</v>
      </c>
      <c r="F21" s="86">
        <f>Poland!F$11</f>
        <v>0</v>
      </c>
      <c r="G21" s="86">
        <f>Poland!G$11</f>
        <v>0</v>
      </c>
      <c r="H21" s="86">
        <f>Poland!H$11</f>
        <v>0</v>
      </c>
      <c r="I21" s="86">
        <f>Poland!I$11</f>
        <v>0</v>
      </c>
      <c r="J21" s="86">
        <f>Poland!J$11</f>
        <v>0</v>
      </c>
      <c r="K21" s="86">
        <f>Poland!K$11</f>
        <v>0</v>
      </c>
      <c r="L21" s="86">
        <f>Poland!L$11</f>
        <v>0</v>
      </c>
      <c r="M21" s="86">
        <f>Poland!M$11</f>
        <v>0</v>
      </c>
      <c r="N21" s="86">
        <f>Poland!N$11</f>
        <v>3000</v>
      </c>
      <c r="O21" s="86">
        <f>Poland!O$11</f>
        <v>10000</v>
      </c>
      <c r="P21" s="88">
        <f>Poland!P$11</f>
        <v>3000</v>
      </c>
    </row>
    <row r="22" spans="1:102" x14ac:dyDescent="0.2">
      <c r="A22" s="53" t="s">
        <v>18</v>
      </c>
      <c r="B22" s="60">
        <f t="shared" si="0"/>
        <v>-0.49291751074985829</v>
      </c>
      <c r="C22" s="147">
        <f>E22-'[1]EU - variety'!E22</f>
        <v>-1946.0460628237861</v>
      </c>
      <c r="D22" s="86">
        <f>F22-'[1]EU - variety'!F22</f>
        <v>-1212.7899999999991</v>
      </c>
      <c r="E22" s="56">
        <f>Italy!E$14</f>
        <v>3246.55</v>
      </c>
      <c r="F22" s="86">
        <f>Italy!F$14</f>
        <v>6402.4100000000008</v>
      </c>
      <c r="G22" s="86">
        <f>Italy!G$14</f>
        <v>928.4</v>
      </c>
      <c r="H22" s="86">
        <f>Italy!H$14</f>
        <v>5637.53</v>
      </c>
      <c r="I22" s="86">
        <f>Italy!I$14</f>
        <v>6947.24</v>
      </c>
      <c r="J22" s="86">
        <f>Italy!J$14</f>
        <v>9321</v>
      </c>
      <c r="K22" s="86">
        <f>Italy!K$14</f>
        <v>7561</v>
      </c>
      <c r="L22" s="86">
        <f>Italy!L$14</f>
        <v>6315</v>
      </c>
      <c r="M22" s="86">
        <f>Italy!M$14</f>
        <v>4126</v>
      </c>
      <c r="N22" s="86">
        <f>Italy!N$14</f>
        <v>8511</v>
      </c>
      <c r="O22" s="86">
        <f>Italy!O$14</f>
        <v>5431.25</v>
      </c>
      <c r="P22" s="88">
        <f>Italy!P$14</f>
        <v>14997.7</v>
      </c>
    </row>
    <row r="23" spans="1:102" x14ac:dyDescent="0.2">
      <c r="A23" s="53" t="s">
        <v>13</v>
      </c>
      <c r="B23" s="60">
        <f t="shared" si="0"/>
        <v>-0.27840290895353237</v>
      </c>
      <c r="C23" s="147">
        <f>E23-'[1]EU - variety'!E23</f>
        <v>-12274.860000000002</v>
      </c>
      <c r="D23" s="86">
        <f>F23-'[1]EU - variety'!F23</f>
        <v>-12493.14</v>
      </c>
      <c r="E23" s="56">
        <f>Austria!E$16+Denmark!E$16+Germany!E$15+Switzerland!E$14+Poland!E$12+Italy!E$15</f>
        <v>15280.539999999999</v>
      </c>
      <c r="F23" s="86">
        <f>Austria!F$16+Denmark!F$15+Germany!F$15+Switzerland!F$14+Poland!F$12+Italy!F$15</f>
        <v>21176</v>
      </c>
      <c r="G23" s="86">
        <f>Austria!G$16+Denmark!G$15+Germany!G$15+Switzerland!G$14+Poland!G$12</f>
        <v>1611</v>
      </c>
      <c r="H23" s="86">
        <f>Austria!H$16+Denmark!H$15+Germany!H$15+Switzerland!H$14+Poland!H$12</f>
        <v>5184.13</v>
      </c>
      <c r="I23" s="86">
        <f>Austria!I$16+Denmark!I$15+Germany!I$15+Switzerland!I$14+Poland!I$12</f>
        <v>6856.82</v>
      </c>
      <c r="J23" s="86">
        <f>Austria!J$16+Denmark!J$15+Germany!J$15+Switzerland!J$14+Poland!J$12</f>
        <v>6715.77</v>
      </c>
      <c r="K23" s="86">
        <f>Austria!K$16+Denmark!K$15+Germany!K$15+Switzerland!K$14+Poland!K$12</f>
        <v>4710.29</v>
      </c>
      <c r="L23" s="86">
        <f>Austria!L$16+Denmark!L$16+Germany!L$15+Switzerland!L$14</f>
        <v>3646</v>
      </c>
      <c r="M23" s="86">
        <f>Austria!M$16+Denmark!M$16+Germany!M$15+Switzerland!M$14</f>
        <v>3716</v>
      </c>
      <c r="N23" s="86">
        <f>Austria!N$16+Denmark!N$16+Germany!N$15+Switzerland!N$14</f>
        <v>3776</v>
      </c>
      <c r="O23" s="86">
        <f>Austria!O$16+Denmark!O$15+Germany!O$15+Switzerland!O$14</f>
        <v>3518</v>
      </c>
      <c r="P23" s="88">
        <f>Austria!P$16+Denmark!P$15+Germany!P$15+Switzerland!P$14</f>
        <v>2682</v>
      </c>
    </row>
    <row r="24" spans="1:102" x14ac:dyDescent="0.2">
      <c r="A24" s="53" t="s">
        <v>19</v>
      </c>
      <c r="B24" s="60">
        <f t="shared" si="0"/>
        <v>-0.16215409271613146</v>
      </c>
      <c r="C24" s="147">
        <f>E24-'[1]EU - variety'!E24</f>
        <v>-29616.824914891149</v>
      </c>
      <c r="D24" s="86">
        <f>F24-'[1]EU - variety'!F24</f>
        <v>-33420.052739825675</v>
      </c>
      <c r="E24" s="56">
        <f>'Czech Republic'!E$8+France!E$19+Italy!E$16+Spain!E$6+Poland!E$13</f>
        <v>43080.065319102672</v>
      </c>
      <c r="F24" s="86">
        <f>'Czech Republic'!F$8+France!F$19+Italy!F$16+Spain!F$6+Poland!F$13</f>
        <v>51417.647260174323</v>
      </c>
      <c r="G24" s="86">
        <f>'Czech Republic'!G$8+France!G$19+Italy!G$16+Spain!G$6+Poland!G$13</f>
        <v>27355.610000000004</v>
      </c>
      <c r="H24" s="86">
        <f>'Czech Republic'!H$8+France!H$19+Italy!H$16+Spain!H$6+Poland!H$13</f>
        <v>51817.15</v>
      </c>
      <c r="I24" s="86">
        <f>'Czech Republic'!I$8+France!I$19+Italy!I$16+Spain!I$6+Poland!I$13</f>
        <v>47090.886568167756</v>
      </c>
      <c r="J24" s="86">
        <f>'Czech Republic'!J$8+France!J$19+Italy!J$16+Spain!J$6+Poland!J$13</f>
        <v>38058.054133612073</v>
      </c>
      <c r="K24" s="86">
        <f>'Czech Republic'!K$8+France!K$19+Italy!K$16+Spain!K$6+Poland!K$13</f>
        <v>43328.862614464379</v>
      </c>
      <c r="L24" s="86">
        <f>'Czech Republic'!L$8+France!L$19+Italy!L$16+Spain!L$6+Poland!L$12+Poland!L$13</f>
        <v>23859.628347781807</v>
      </c>
      <c r="M24" s="86">
        <f>'Czech Republic'!M$8+France!M$19+Italy!M$16+Spain!M$6+Poland!M$12+Poland!M$13</f>
        <v>26662.076300964258</v>
      </c>
      <c r="N24" s="86">
        <f>'Czech Republic'!N$8+France!N$19+Italy!N$16+Spain!N$6+Poland!N$12+Poland!N$13</f>
        <v>25604.220679528953</v>
      </c>
      <c r="O24" s="86">
        <f>'Czech Republic'!O$8+France!O$19+Italy!O$16+Spain!O$6+Poland!O$12+Poland!O$13</f>
        <v>38992.660000000003</v>
      </c>
      <c r="P24" s="88">
        <f>'Czech Republic'!P$8+Italy!P$16+Spain!P$6+Poland!P$12+Poland!P$13</f>
        <v>31256.5</v>
      </c>
    </row>
    <row r="25" spans="1:102" x14ac:dyDescent="0.2">
      <c r="A25" s="53" t="s">
        <v>135</v>
      </c>
      <c r="B25" s="60">
        <f t="shared" si="0"/>
        <v>-0.20276391228159707</v>
      </c>
      <c r="C25" s="147">
        <f>E25-'[1]EU - variety'!E25</f>
        <v>-28785.259999999995</v>
      </c>
      <c r="D25" s="86">
        <f>F25-'[1]EU - variety'!F25</f>
        <v>-13069.380000000005</v>
      </c>
      <c r="E25" s="56">
        <f>Germany!E$16+Austria!E$17+Poland!E$14</f>
        <v>46860.740000000005</v>
      </c>
      <c r="F25" s="86">
        <f>Germany!F$16+Austria!F$17+Poland!F$14</f>
        <v>58779</v>
      </c>
      <c r="G25" s="86">
        <f>Germany!G$16+Austria!G$17</f>
        <v>20649</v>
      </c>
      <c r="H25" s="86">
        <f>Germany!H$16</f>
        <v>37015</v>
      </c>
      <c r="I25" s="86">
        <f>Germany!I$16</f>
        <v>22485</v>
      </c>
      <c r="J25" s="86">
        <f>Germany!J$16</f>
        <v>16280</v>
      </c>
      <c r="K25" s="86">
        <f>Germany!K$16</f>
        <v>10256</v>
      </c>
      <c r="L25" s="86">
        <f>Germany!L$16</f>
        <v>12669</v>
      </c>
      <c r="M25" s="86">
        <f>Germany!M$16</f>
        <v>9733</v>
      </c>
      <c r="N25" s="86">
        <f>Germany!N$16</f>
        <v>5164</v>
      </c>
      <c r="O25" s="86">
        <f>Germany!O$16</f>
        <v>8667</v>
      </c>
      <c r="P25" s="88">
        <f>Germany!P$16</f>
        <v>6244</v>
      </c>
    </row>
    <row r="26" spans="1:102" s="4" customFormat="1" ht="13.5" thickBot="1" x14ac:dyDescent="0.25">
      <c r="A26" s="53" t="s">
        <v>124</v>
      </c>
      <c r="B26" s="60">
        <f t="shared" si="0"/>
        <v>-0.68120362737015661</v>
      </c>
      <c r="C26" s="147">
        <f>E26-'[1]EU - variety'!E26</f>
        <v>-7433.9000000000005</v>
      </c>
      <c r="D26" s="86">
        <f>F26-'[1]EU - variety'!F26</f>
        <v>-6210</v>
      </c>
      <c r="E26" s="56">
        <f>France!E$21+France!E$20+Italy!E$17+Switzerland!E$12</f>
        <v>3480.3</v>
      </c>
      <c r="F26" s="86">
        <f>France!F$21+France!F$20+Italy!F$17+Switzerland!F$12</f>
        <v>10917</v>
      </c>
      <c r="G26" s="86">
        <f>France!G$21+France!G$20+Italy!G$17+Switzerland!G$12</f>
        <v>785</v>
      </c>
      <c r="H26" s="86">
        <f>France!H$21+France!H$20+Italy!H$17+Switzerland!H$12</f>
        <v>7341.3</v>
      </c>
      <c r="I26" s="86">
        <f>France!I$21+France!I$20+Italy!I$17+Switzerland!I$12</f>
        <v>7526</v>
      </c>
      <c r="J26" s="86">
        <f>France!J$21+France!J$20+Italy!J$17+Switzerland!J$12</f>
        <v>6231</v>
      </c>
      <c r="K26" s="86">
        <f>France!K$21+France!K$20+Italy!K$17+Switzerland!K$12</f>
        <v>10256</v>
      </c>
      <c r="L26" s="86">
        <f>France!L$21+France!L$20+Italy!L$17+Switzerland!L$12</f>
        <v>1429</v>
      </c>
      <c r="M26" s="86">
        <f>France!M$21+France!M$20+Italy!M$17+Switzerland!M$12</f>
        <v>6628</v>
      </c>
      <c r="N26" s="86">
        <f>France!N$21+France!N$20+Italy!N$17+Switzerland!N$12</f>
        <v>5488</v>
      </c>
      <c r="O26" s="86">
        <f>France!O$20+France!O$21+Italy!O$17+Switzerland!O$12</f>
        <v>8545</v>
      </c>
      <c r="P26" s="88">
        <f>Italy!P$17+Switzerland!P$12</f>
        <v>199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</row>
    <row r="27" spans="1:102" s="16" customFormat="1" x14ac:dyDescent="0.2">
      <c r="A27" s="53" t="s">
        <v>90</v>
      </c>
      <c r="B27" s="60">
        <f t="shared" si="0"/>
        <v>-0.78680534833823546</v>
      </c>
      <c r="C27" s="147">
        <f>E27-'[1]EU - variety'!E27</f>
        <v>-25181</v>
      </c>
      <c r="D27" s="86">
        <f>F27-'[1]EU - variety'!F27</f>
        <v>-55347</v>
      </c>
      <c r="E27" s="56">
        <f>'Czech Republic'!E$9+Germany!E$17+Poland!E$15</f>
        <v>15004</v>
      </c>
      <c r="F27" s="86">
        <f>'Czech Republic'!F$9+Germany!F$17+Poland!F$15</f>
        <v>70377</v>
      </c>
      <c r="G27" s="86">
        <f>'Czech Republic'!G$9+Germany!G$17+Poland!G$15</f>
        <v>15048</v>
      </c>
      <c r="H27" s="86">
        <f>'Czech Republic'!H$9+Germany!H$17+Poland!H$15</f>
        <v>25100</v>
      </c>
      <c r="I27" s="86">
        <f>'Czech Republic'!I$9+Germany!I$17+Poland!I$15</f>
        <v>30569</v>
      </c>
      <c r="J27" s="86">
        <f>'Czech Republic'!J$9+Germany!J$17+Poland!J$15</f>
        <v>35216</v>
      </c>
      <c r="K27" s="86">
        <f>'Czech Republic'!K$9+Germany!K$17+Poland!K$15</f>
        <v>40059</v>
      </c>
      <c r="L27" s="86">
        <f>'Czech Republic'!L$9+Germany!L$17+Poland!L$15</f>
        <v>20238</v>
      </c>
      <c r="M27" s="86">
        <f>'Czech Republic'!M$9+Germany!M$17+Poland!M$15</f>
        <v>20348</v>
      </c>
      <c r="N27" s="86">
        <f>'Czech Republic'!N$9+Germany!N$17+Poland!N$15</f>
        <v>5019</v>
      </c>
      <c r="O27" s="86">
        <f>'Czech Republic'!O$9+Germany!O$17+Poland!O$15</f>
        <v>5051</v>
      </c>
      <c r="P27" s="88">
        <f>'Czech Republic'!P$9+Germany!P$17+Poland!P$15</f>
        <v>5051</v>
      </c>
    </row>
    <row r="28" spans="1:102" x14ac:dyDescent="0.2">
      <c r="A28" s="53" t="s">
        <v>21</v>
      </c>
      <c r="B28" s="60">
        <f t="shared" si="0"/>
        <v>-1</v>
      </c>
      <c r="C28" s="147">
        <f>E28-'[1]EU - variety'!E28</f>
        <v>0</v>
      </c>
      <c r="D28" s="86">
        <f>F28-'[1]EU - variety'!F28</f>
        <v>-7</v>
      </c>
      <c r="E28" s="56">
        <f>Italy!E$18</f>
        <v>0</v>
      </c>
      <c r="F28" s="86">
        <f>Italy!F$18</f>
        <v>400</v>
      </c>
      <c r="G28" s="86">
        <f>Italy!G$18</f>
        <v>245.8</v>
      </c>
      <c r="H28" s="86">
        <f>Italy!H$18</f>
        <v>2989.3</v>
      </c>
      <c r="I28" s="86">
        <f>Italy!I$18</f>
        <v>4465.6000000000004</v>
      </c>
      <c r="J28" s="86">
        <f>Italy!J$18</f>
        <v>3756</v>
      </c>
      <c r="K28" s="86">
        <f>Italy!K$18</f>
        <v>2792</v>
      </c>
      <c r="L28" s="86">
        <f>Italy!L$18</f>
        <v>42</v>
      </c>
      <c r="M28" s="86">
        <f>Italy!M$18</f>
        <v>3072</v>
      </c>
      <c r="N28" s="86">
        <f>Italy!N$18</f>
        <v>3639</v>
      </c>
      <c r="O28" s="86">
        <f>Italy!O$18</f>
        <v>1223.69</v>
      </c>
      <c r="P28" s="88">
        <f>Italy!P$18</f>
        <v>2334</v>
      </c>
    </row>
    <row r="29" spans="1:102" x14ac:dyDescent="0.2">
      <c r="A29" s="53" t="s">
        <v>35</v>
      </c>
      <c r="B29" s="60"/>
      <c r="C29" s="147">
        <f>E29-'[1]EU - variety'!E29</f>
        <v>0</v>
      </c>
      <c r="D29" s="86">
        <f>F29-'[1]EU - variety'!F29</f>
        <v>-12</v>
      </c>
      <c r="E29" s="56">
        <f>'Czech Republic'!E$10+UK!E$9+Poland!E$16+Denmark!E$17</f>
        <v>0</v>
      </c>
      <c r="F29" s="86">
        <f>'Czech Republic'!F$10+UK!F$9+Poland!F$16+Denmark!F$16</f>
        <v>0</v>
      </c>
      <c r="G29" s="86">
        <f>'Czech Republic'!G$10+UK!G$9+Poland!G$16+Denmark!G$16</f>
        <v>0</v>
      </c>
      <c r="H29" s="86">
        <f>'Czech Republic'!H$10+UK!H$9+Poland!H$16+Denmark!H$16</f>
        <v>0</v>
      </c>
      <c r="I29" s="86">
        <f>'Czech Republic'!I$10+UK!I$9+Poland!I$16+Denmark!I$16</f>
        <v>0</v>
      </c>
      <c r="J29" s="86">
        <f>'Czech Republic'!J$10+UK!J$9+Poland!J$16+Denmark!J$16</f>
        <v>0</v>
      </c>
      <c r="K29" s="86">
        <f>'Czech Republic'!K$10+UK!K$9+Poland!K$16+Denmark!K$16</f>
        <v>0</v>
      </c>
      <c r="L29" s="86">
        <f>'Czech Republic'!L$10+UK!L$9+Poland!L$16</f>
        <v>0</v>
      </c>
      <c r="M29" s="86">
        <f>'Czech Republic'!M$10+UK!M$9+Poland!M$16</f>
        <v>0</v>
      </c>
      <c r="N29" s="86">
        <f>'Czech Republic'!N$10+UK!N$9+Poland!N$16</f>
        <v>0</v>
      </c>
      <c r="O29" s="86">
        <f>'Czech Republic'!O$10+UK!O$9+Poland!O$16</f>
        <v>0</v>
      </c>
      <c r="P29" s="88">
        <f>'Czech Republic'!P$10+UK!P$9+Poland!P$16</f>
        <v>0</v>
      </c>
    </row>
    <row r="30" spans="1:102" x14ac:dyDescent="0.2">
      <c r="A30" s="53" t="s">
        <v>125</v>
      </c>
      <c r="B30" s="60">
        <f t="shared" si="0"/>
        <v>-0.29870196642330743</v>
      </c>
      <c r="C30" s="147">
        <f>E30-'[1]EU - variety'!E30</f>
        <v>-25603.42</v>
      </c>
      <c r="D30" s="86">
        <f>F30-'[1]EU - variety'!F30</f>
        <v>-22354.392800000001</v>
      </c>
      <c r="E30" s="56">
        <f>Austria!E$6+Denmark!E$18+France!E$2+France!E$24+France!E$17+France!E$15+France!E$13+Switzerland!E$17+UK!E$10+Germany!E$19+Netherlands!E$6</f>
        <v>35038.58</v>
      </c>
      <c r="F30" s="86">
        <f>Austria!F$6+Denmark!F$17+France!F$2+France!F$24+France!F$17+France!F$15+France!F$13+Switzerland!F$17+UK!F$10+Germany!F$19+Netherlands!F$6</f>
        <v>49962.467199999999</v>
      </c>
      <c r="G30" s="86">
        <f>Austria!G$6+Denmark!G$17+France!G$2+France!G$24+France!G$17+France!G$15+France!G$13+Switzerland!G$17+UK!G$10+Germany!G$19+Netherlands!G$6</f>
        <v>12995.29</v>
      </c>
      <c r="H30" s="86">
        <f>Austria!H$6+Denmark!H$17+France!H$2+France!H$24+France!H$17+France!H$15+France!H$13+Switzerland!H$17+UK!H$10+Germany!H$19+Netherlands!H$6</f>
        <v>37787.81</v>
      </c>
      <c r="I30" s="86">
        <f>Austria!I$6+Denmark!I$17+France!I$2+France!I$24+France!I$17+France!I$15+France!I$13+Switzerland!I$17+UK!I$10+Germany!I$19+Netherlands!I$6</f>
        <v>33304.15</v>
      </c>
      <c r="J30" s="86">
        <f>Austria!J$6+Denmark!J$17+France!J$2+France!J$24+France!J$17+France!J$15+France!J$13+Switzerland!J$17+UK!J$10+Germany!J$19+Netherlands!J$6</f>
        <v>35487.01</v>
      </c>
      <c r="K30" s="86">
        <f>Austria!K$6+Denmark!K$17+France!K$2+France!K$24+France!K$17+France!K$15+France!K$13+Switzerland!K$17+UK!K$10+Germany!K$19+Netherlands!K$6</f>
        <v>31214.54</v>
      </c>
      <c r="L30" s="86">
        <f>Austria!L$6+Denmark!L$17+France!L$2+France!L$24+France!L$17+France!L$15+France!L$13+Switzerland!L$17+UK!L$10+Germany!L$19+Netherlands!L$6</f>
        <v>9735</v>
      </c>
      <c r="M30" s="86">
        <f>Austria!M$6+Denmark!M$17+France!M$2+France!M$24+France!M$17+France!M$15+France!M$13+Switzerland!M$17+UK!M$10+Germany!M$19+Netherlands!M$6</f>
        <v>16162</v>
      </c>
      <c r="N30" s="86">
        <f>Austria!N$6+Denmark!N$17+France!N$2+France!N$24+France!N$17+France!N$15+France!N$13+Switzerland!N$17+UK!N$10+Germany!N$19+Netherlands!N$6</f>
        <v>7152</v>
      </c>
      <c r="O30" s="86">
        <f>Austria!O$6+Denmark!O$17+France!O$2+France!O$24+France!O$17+France!O$15+France!O$13+Switzerland!O$17+UK!O$10+Germany!O$19+Netherlands!O$6</f>
        <v>10728</v>
      </c>
      <c r="P30" s="88">
        <f>Austria!P$6+Denmark!P$17+France!P$2+France!P$24+France!P$17+France!P$15+France!P$13+Switzerland!P$17+UK!P$10+Germany!P$19+Netherlands!P$6</f>
        <v>1161</v>
      </c>
    </row>
    <row r="31" spans="1:102" ht="13.5" thickBot="1" x14ac:dyDescent="0.25">
      <c r="A31" s="54" t="s">
        <v>6</v>
      </c>
      <c r="B31" s="61">
        <f t="shared" si="0"/>
        <v>-0.63802294290692474</v>
      </c>
      <c r="C31" s="148">
        <f>E31-'[1]EU - variety'!E31</f>
        <v>-61842.29</v>
      </c>
      <c r="D31" s="87">
        <f>F31-'[1]EU - variety'!F31</f>
        <v>-89295.691899999976</v>
      </c>
      <c r="E31" s="57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61086.1</v>
      </c>
      <c r="F31" s="87">
        <f>Austria!F$2+Austria!F$15+Austria!F$18+Austria!F$19+Austria!F$20+Belgium!F$9+'Czech Republic'!F$11+Denmark!F$3+Denmark!F$14+Denmark!F$11+Denmark!F$18+Germany!F$12+Germany!F$18+Germany!F$20+Italy!F$19+Spain!F$7+Switzerland!F$7+Switzerland!F$13+Switzerland!F$15+Switzerland!F$16+Switzerland!F$18+Netherlands!F$7+UK!F$11+France!F$3+France!F$7+France!F$22+France!F$23+France!F$25+Poland!F$10+Poland!F$17</f>
        <v>168756.82810000004</v>
      </c>
      <c r="G31" s="87">
        <f>Austria!G$2+Austria!G$15+Austria!G$18+Austria!G$19+Austria!G$20+Belgium!G$9+'Czech Republic'!G$11+Denmark!G$3+Denmark!G$14+Denmark!G$11+Denmark!G$18+Germany!G$12+Germany!G$18+Germany!G$20+Italy!G$19+Spain!G$7+Switzerland!G$7+Switzerland!G$13+Switzerland!G$15+Switzerland!G$16+Switzerland!G$18+Netherlands!G$7+UK!G$11+France!G$3+France!G$7+France!G$22+France!G$23+France!G$25+Poland!G$10+Poland!G$17</f>
        <v>38095.069000000003</v>
      </c>
      <c r="H31" s="87">
        <f>Austria!H$2+Austria!H$15+Austria!H$18+Austria!H$19+Austria!H$20+Belgium!H$9+'Czech Republic'!H$11+Denmark!H$3+Denmark!H$14+Denmark!H$11+Denmark!H$18+Germany!H$12+Germany!H$18+Germany!H$20+Italy!H$19+Spain!H$7+Switzerland!H$7+Switzerland!H$13+Switzerland!H$15+Switzerland!H$16+Switzerland!H$18+Netherlands!H$7+UK!H$11+France!H$3+France!H$7+France!H$22+France!H$23+France!H$25+Poland!H$10+Poland!H$17</f>
        <v>109117.2</v>
      </c>
      <c r="I31" s="87">
        <f>Austria!I$2+Austria!I$15+Austria!I$18+Austria!I$19+Austria!I$20+Belgium!I$9+'Czech Republic'!I$11+Denmark!I$3+Denmark!I$14+Denmark!I$11+Denmark!I$18+Germany!I$12+Germany!I$18+Germany!I$20+Italy!I$19+Spain!I$7+Switzerland!I$7+Switzerland!I$13+Switzerland!I$15+Switzerland!I$16+Switzerland!I$18+Netherlands!I$7+UK!I$11+France!I$3+France!I$7+France!I$22+France!I$23+France!I$25+Poland!I$10+Poland!I$17</f>
        <v>116533.19</v>
      </c>
      <c r="J31" s="87">
        <f>Austria!J$2+Austria!J$15+Austria!J$18+Austria!J$19+Austria!J$20+Belgium!J$9+'Czech Republic'!J$11+Denmark!J$3+Denmark!J$14+Denmark!J$11+Denmark!J$18+Germany!J$12+Germany!J$18+Germany!J$20+Italy!J$19+Spain!J$7+Switzerland!J$7+Switzerland!J$13+Switzerland!J$15+Switzerland!J$16+Switzerland!J$18+Netherlands!J$7+UK!J$11+France!J$3+France!J$7+France!J$22+France!J$23+France!J$25+Poland!J$10+Poland!J$17</f>
        <v>87359.915000000008</v>
      </c>
      <c r="K31" s="87">
        <f>Austria!K$2+Austria!K$15+Austria!K$18+Austria!K$19+Austria!K$20+Belgium!K$9+'Czech Republic'!K$11+Denmark!K$3+Denmark!K$14+Denmark!K$11+Denmark!K$18+Germany!K$12+Germany!K$18+Germany!K$20+Italy!K$19+Spain!K$7+Switzerland!K$7+Switzerland!K$13+Switzerland!K$15+Switzerland!K$16+Switzerland!K$18+Netherlands!K$7+UK!K$11+France!K$3+France!K$7+France!K$22+France!K$23+France!K$25+Poland!K$10+Poland!K$17</f>
        <v>102933.24</v>
      </c>
      <c r="L31" s="87">
        <f>Austria!L$2+Austria!L$15+Austria!L$18+Austria!L$19+Austria!L$20+Belgium!L$9+'Czech Republic'!L$11+Denmark!L$3+Denmark!L$14+Denmark!L$11+Denmark!L$18+Germany!L$12+Germany!L$18+Germany!L$20+Italy!L$19+Spain!L$7+Switzerland!L$7+Switzerland!L$13+Switzerland!L$15+Switzerland!L$16+Switzerland!L$18+Netherlands!L$7+UK!L$11+France!L$3+France!L$7+France!L$22+France!L$23+France!L$25+Poland!L$10+Poland!L$17</f>
        <v>69356</v>
      </c>
      <c r="M31" s="87">
        <f>Austria!M$2+Austria!M$15+Austria!M$18+Austria!M$19+Austria!M$20+Belgium!M$9+'Czech Republic'!M$11+Denmark!M$3+Denmark!M$14+Denmark!M$11+Denmark!M$18+Germany!M$12+Germany!M$18+Germany!M$20+Italy!M$19+Spain!M$7+Switzerland!M$7+Switzerland!M$13+Switzerland!M$15+Switzerland!M$16+Switzerland!M$18+Netherlands!M$7+UK!M$11+France!M$3+France!M$7+France!M$22+France!M$23+France!M$25+Poland!M$10+Poland!M$17</f>
        <v>90002</v>
      </c>
      <c r="N31" s="87">
        <f>Austria!N$2+Austria!N$15+Austria!N$18+Austria!N$19+Austria!N$20+Belgium!N$9+'Czech Republic'!N$11+Denmark!N$3+Denmark!N$14+Denmark!N$11+Denmark!N$18+Germany!N$12+Germany!N$18+Germany!N$20+Italy!N$19+Spain!N$7+Switzerland!N$7+Switzerland!N$13+Switzerland!N$15+Switzerland!N$16+Switzerland!N$18+Netherlands!N$7+UK!N$11+France!N$3+France!N$7+France!N$22+France!N$23+France!N$25+Poland!N$10+Poland!N$17</f>
        <v>56577.5</v>
      </c>
      <c r="O31" s="87">
        <f>Austria!O$2+Austria!O$15+Austria!O$18+Austria!O$19+Austria!O$20+Belgium!O$9+'Czech Republic'!O$11+Denmark!O$3+Denmark!O$14+Denmark!O$11+Denmark!O$18+Germany!O$12+Germany!O$18+Germany!O$20+Italy!O$19+Spain!O$7+Switzerland!O$7+Switzerland!O$13+Switzerland!O$15+Switzerland!O$16+Switzerland!O$18+Netherlands!O$7+UK!O$11+France!O$3+France!O$7+France!O$22+France!O$23+France!O$25+Poland!O$10+Poland!O$17</f>
        <v>53452</v>
      </c>
      <c r="P31" s="89">
        <f>Austria!P$2+Austria!P$15+Austria!P$18+Austria!P$19+Austria!P$20+Belgium!P$9+'Czech Republic'!P$11+Denmark!P$3+Denmark!P$14+Denmark!P$11+Denmark!P$18+Germany!P$12+Germany!P$18+Germany!P$20+Italy!P$19+Spain!P$7+Switzerland!P$7+Switzerland!P$13+Switzerland!P$15+Switzerland!P$16+Switzerland!P$18+Netherlands!P$7+UK!P$11+France!P$3+France!P$7+France!P$22+France!P$23+France!P$25+Poland!P$10+Poland!P$17</f>
        <v>34980</v>
      </c>
      <c r="R31" s="3"/>
    </row>
    <row r="32" spans="1:102" ht="13.5" thickBot="1" x14ac:dyDescent="0.25">
      <c r="A32" s="55" t="s">
        <v>93</v>
      </c>
      <c r="B32" s="97">
        <f t="shared" si="0"/>
        <v>-0.2808259978819303</v>
      </c>
      <c r="C32" s="155">
        <f>E32-'[1]EU - variety'!E32</f>
        <v>-643209.2221431511</v>
      </c>
      <c r="D32" s="42">
        <f>F32-'[1]EU - variety'!F32</f>
        <v>-733581.18086683773</v>
      </c>
      <c r="E32" s="123">
        <f t="shared" ref="E32:J32" si="1">SUM(E2:E31)</f>
        <v>1124822.8460265964</v>
      </c>
      <c r="F32" s="42">
        <f t="shared" si="1"/>
        <v>1564048.2591331627</v>
      </c>
      <c r="G32" s="42">
        <f t="shared" si="1"/>
        <v>710658.59800000011</v>
      </c>
      <c r="H32" s="110">
        <f t="shared" si="1"/>
        <v>1347301.9229970854</v>
      </c>
      <c r="I32" s="110">
        <f t="shared" si="1"/>
        <v>1398585.0178398711</v>
      </c>
      <c r="J32" s="110">
        <f t="shared" si="1"/>
        <v>1315934.5131682649</v>
      </c>
      <c r="K32" s="110">
        <f t="shared" ref="K32:P32" si="2">SUM(K2:K31)</f>
        <v>1296878.735538892</v>
      </c>
      <c r="L32" s="110">
        <f t="shared" si="2"/>
        <v>837817.77196048235</v>
      </c>
      <c r="M32" s="110">
        <f t="shared" si="2"/>
        <v>1178389.7459239243</v>
      </c>
      <c r="N32" s="110">
        <f t="shared" si="2"/>
        <v>920219.31371918274</v>
      </c>
      <c r="O32" s="110">
        <f t="shared" si="2"/>
        <v>1133163.32</v>
      </c>
      <c r="P32" s="115">
        <f t="shared" si="2"/>
        <v>942572.89999999991</v>
      </c>
    </row>
    <row r="33" spans="1:16" x14ac:dyDescent="0.2">
      <c r="A33" s="65" t="s">
        <v>153</v>
      </c>
    </row>
    <row r="34" spans="1:16" ht="13.5" thickBot="1" x14ac:dyDescent="0.25">
      <c r="B34" s="3"/>
      <c r="C34" s="3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35" spans="1:16" s="65" customFormat="1" ht="13.5" thickBot="1" x14ac:dyDescent="0.25">
      <c r="A35" s="64" t="s">
        <v>92</v>
      </c>
      <c r="B35" s="32" t="s">
        <v>176</v>
      </c>
      <c r="C35" s="62" t="s">
        <v>177</v>
      </c>
      <c r="D35" s="99" t="s">
        <v>174</v>
      </c>
      <c r="E35" s="129">
        <v>43952</v>
      </c>
      <c r="F35" s="137">
        <v>43586</v>
      </c>
      <c r="G35" s="137">
        <v>43221</v>
      </c>
      <c r="H35" s="33">
        <v>42856</v>
      </c>
      <c r="I35" s="33">
        <v>42491</v>
      </c>
      <c r="J35" s="33">
        <v>42125</v>
      </c>
      <c r="K35" s="33">
        <v>41760</v>
      </c>
      <c r="L35" s="33">
        <v>41395</v>
      </c>
      <c r="M35" s="33">
        <v>41030</v>
      </c>
      <c r="N35" s="33">
        <v>40664</v>
      </c>
      <c r="O35" s="33">
        <v>40299</v>
      </c>
      <c r="P35" s="49">
        <v>39934</v>
      </c>
    </row>
    <row r="36" spans="1:16" s="65" customFormat="1" x14ac:dyDescent="0.2">
      <c r="A36" s="116" t="s">
        <v>104</v>
      </c>
      <c r="B36" s="117">
        <f t="shared" ref="B36:B44" si="3">(E36-F36)/F36</f>
        <v>-1</v>
      </c>
      <c r="C36" s="147">
        <f>E36-'[1]EU - variety'!E36</f>
        <v>0</v>
      </c>
      <c r="D36" s="118">
        <f>F36-'[1]EU - variety'!F36</f>
        <v>-21222.896986199801</v>
      </c>
      <c r="E36" s="140">
        <f>Italy!E$24</f>
        <v>0</v>
      </c>
      <c r="F36" s="118">
        <f>Italy!F$24</f>
        <v>5606.9228439924773</v>
      </c>
      <c r="G36" s="91">
        <f>Italy!G$24</f>
        <v>14445.025666480678</v>
      </c>
      <c r="H36" s="86">
        <f>Italy!H$24</f>
        <v>3805.6210582356935</v>
      </c>
      <c r="I36" s="118">
        <f>Italy!I$24</f>
        <v>4733.7553030773106</v>
      </c>
      <c r="J36" s="118">
        <f>Italy!J$24</f>
        <v>764.80051412556384</v>
      </c>
      <c r="K36" s="118">
        <f>Italy!K$24</f>
        <v>1821.1655840767778</v>
      </c>
      <c r="L36" s="118">
        <f>Italy!L$24</f>
        <v>0</v>
      </c>
      <c r="M36" s="118">
        <f>Italy!M$24</f>
        <v>0</v>
      </c>
      <c r="N36" s="118">
        <f>Italy!N$24</f>
        <v>463</v>
      </c>
      <c r="O36" s="118">
        <f>Italy!O$24</f>
        <v>0</v>
      </c>
      <c r="P36" s="119">
        <f>Italy!P$24</f>
        <v>0</v>
      </c>
    </row>
    <row r="37" spans="1:16" s="65" customFormat="1" x14ac:dyDescent="0.2">
      <c r="A37" s="66" t="s">
        <v>38</v>
      </c>
      <c r="B37" s="67">
        <f t="shared" si="3"/>
        <v>0.32612882236588497</v>
      </c>
      <c r="C37" s="147">
        <f>E37-'[1]EU - variety'!E37</f>
        <v>-482.835046628925</v>
      </c>
      <c r="D37" s="91">
        <f>F37-'[1]EU - variety'!F37</f>
        <v>-324.25742180071268</v>
      </c>
      <c r="E37" s="68">
        <f>Spain!E$12</f>
        <v>381.58372637194446</v>
      </c>
      <c r="F37" s="91">
        <f>Spain!F$12</f>
        <v>287.74257819928732</v>
      </c>
      <c r="G37" s="91">
        <f>Spain!G$12</f>
        <v>440</v>
      </c>
      <c r="H37" s="86">
        <f>Spain!H$12</f>
        <v>424</v>
      </c>
      <c r="I37" s="91">
        <f>Spain!I$12</f>
        <v>139.26667758805868</v>
      </c>
      <c r="J37" s="91">
        <f>Spain!J$12</f>
        <v>39.170287745711697</v>
      </c>
      <c r="K37" s="91">
        <f>Spain!K$12</f>
        <v>1110.6048561530492</v>
      </c>
      <c r="L37" s="91">
        <f>Spain!L$12</f>
        <v>0</v>
      </c>
      <c r="M37" s="91">
        <f>Spain!M$12</f>
        <v>1796.1608987079055</v>
      </c>
      <c r="N37" s="91">
        <f>Spain!N$12</f>
        <v>967.82542476351398</v>
      </c>
      <c r="O37" s="91">
        <f>Spain!O$12</f>
        <v>522</v>
      </c>
      <c r="P37" s="93">
        <f>Spain!P$12</f>
        <v>284</v>
      </c>
    </row>
    <row r="38" spans="1:16" s="63" customFormat="1" x14ac:dyDescent="0.2">
      <c r="A38" s="66" t="s">
        <v>39</v>
      </c>
      <c r="B38" s="67">
        <f t="shared" si="3"/>
        <v>-0.62247648374974729</v>
      </c>
      <c r="C38" s="147">
        <f>E38-'[1]EU - variety'!E38</f>
        <v>-423.22891254490935</v>
      </c>
      <c r="D38" s="91">
        <f>F38-'[1]EU - variety'!F38</f>
        <v>-1293.7633711400856</v>
      </c>
      <c r="E38" s="68">
        <f>Spain!E$13</f>
        <v>135.62027529308193</v>
      </c>
      <c r="F38" s="91">
        <f>Spain!F$13</f>
        <v>359.23662885991445</v>
      </c>
      <c r="G38" s="91">
        <f>Spain!G$13</f>
        <v>1580</v>
      </c>
      <c r="H38" s="86">
        <f>Spain!H$13</f>
        <v>163</v>
      </c>
      <c r="I38" s="91">
        <f>Spain!I$13</f>
        <v>524.52251944030786</v>
      </c>
      <c r="J38" s="91">
        <f>Spain!J$13</f>
        <v>965.5811674641468</v>
      </c>
      <c r="K38" s="91">
        <f>Spain!K$13</f>
        <v>1389.8645323967746</v>
      </c>
      <c r="L38" s="91">
        <f>Spain!L$13</f>
        <v>251.56493920175487</v>
      </c>
      <c r="M38" s="91">
        <f>Spain!M$13</f>
        <v>1496.5775096917525</v>
      </c>
      <c r="N38" s="91">
        <f>Spain!N$13</f>
        <v>2776.1818778763163</v>
      </c>
      <c r="O38" s="91">
        <f>Spain!O$13</f>
        <v>2076</v>
      </c>
      <c r="P38" s="93">
        <f>Spain!P$13</f>
        <v>895</v>
      </c>
    </row>
    <row r="39" spans="1:16" s="63" customFormat="1" x14ac:dyDescent="0.2">
      <c r="A39" s="66" t="s">
        <v>7</v>
      </c>
      <c r="B39" s="67">
        <f t="shared" si="3"/>
        <v>-0.33832111439218193</v>
      </c>
      <c r="C39" s="147">
        <f>E39-'[1]EU - variety'!E39</f>
        <v>-86353.767870999873</v>
      </c>
      <c r="D39" s="91">
        <f>F39-'[1]EU - variety'!F39</f>
        <v>-83090.694499349862</v>
      </c>
      <c r="E39" s="68">
        <f>Belgium!E$15+Denmark!E$24+Italy!E$25+Poland!E$22+Spain!E$14+Switzerland!E$24+Netherlands!E$12+UK!E$16+'Czech Republic'!E$16+France!E$32</f>
        <v>88356.885301426839</v>
      </c>
      <c r="F39" s="91">
        <f>Belgium!F$15+Denmark!F$23+Italy!F$25+Poland!F$22+Spain!F$14+Switzerland!F$24+Netherlands!F$12+UK!F$16+'Czech Republic'!F$16+France!F$32</f>
        <v>133534.3883918288</v>
      </c>
      <c r="G39" s="91">
        <f>Belgium!G$15+Denmark!G$23+Italy!G$25+Poland!G$22+Spain!G$14+Switzerland!G$24+Netherlands!G$12+UK!G$16+'Czech Republic'!G$16+France!G$32</f>
        <v>101913.70440251086</v>
      </c>
      <c r="H39" s="86">
        <f>Belgium!H$15+Denmark!H$23+Italy!H$25+Poland!H$22+Spain!H$14+Switzerland!H$24+Netherlands!H$12+UK!H$16+'Czech Republic'!H$16+France!H$32</f>
        <v>108703.65669700559</v>
      </c>
      <c r="I39" s="91">
        <f>Belgium!I$15+Denmark!I$23+Italy!I$25+Poland!I$22+Spain!I$14+Switzerland!I$24+Netherlands!I$12+UK!I$16+'Czech Republic'!I$16+France!I$32</f>
        <v>147136.58780579173</v>
      </c>
      <c r="J39" s="91">
        <f>Belgium!J$15+Denmark!J$23+Italy!J$25+Poland!J$22+Spain!J$14+Switzerland!J$24+Netherlands!J$12+UK!J$16+'Czech Republic'!J$16+France!J$32</f>
        <v>103445.17170174654</v>
      </c>
      <c r="K39" s="91">
        <f>Belgium!K$15+Denmark!K$23+Italy!K$25+Poland!K$22+Spain!K$14+Switzerland!K$24+Netherlands!K$12+UK!K$16+'Czech Republic'!K$16+France!K$32</f>
        <v>97069.712980449098</v>
      </c>
      <c r="L39" s="91">
        <f>Belgium!L$15+Denmark!L$23+Italy!L$25+Poland!L$22+Spain!L$14+Switzerland!L$24+Netherlands!L$12+UK!L$16+'Czech Republic'!L$16+France!L$32</f>
        <v>49272.079374474757</v>
      </c>
      <c r="M39" s="91">
        <f>Belgium!M$15+Denmark!M$23+Italy!M$25+Poland!M$22+Spain!M$14+Switzerland!M$24+Netherlands!M$12+UK!M$16+'Czech Republic'!M$16+France!M$32</f>
        <v>127104.81858589934</v>
      </c>
      <c r="N39" s="91">
        <f>Belgium!N$15+Denmark!N$23+Italy!N$25+Poland!N$22+Spain!N$14+Switzerland!N$24+Netherlands!N$12+UK!N$16+'Czech Republic'!N$16+France!N$32</f>
        <v>105049.981388067</v>
      </c>
      <c r="O39" s="91">
        <f>Belgium!O$15+Denmark!O$23+Italy!O$25+Poland!O$22+Spain!O$14+Switzerland!O$24+Netherlands!O$12+UK!O$16+'Czech Republic'!O$16+France!O$32</f>
        <v>105912</v>
      </c>
      <c r="P39" s="93">
        <f>Belgium!P$15+Denmark!P$23+Italy!P$25+Poland!P$22+Spain!P$14+Switzerland!P$24+Netherlands!P$12+UK!P$16+'Czech Republic'!P$16</f>
        <v>46620</v>
      </c>
    </row>
    <row r="40" spans="1:16" s="63" customFormat="1" x14ac:dyDescent="0.2">
      <c r="A40" s="66" t="s">
        <v>94</v>
      </c>
      <c r="B40" s="67">
        <f t="shared" si="3"/>
        <v>-0.92760827716656147</v>
      </c>
      <c r="C40" s="147">
        <f>E40-'[1]EU - variety'!E40</f>
        <v>-20</v>
      </c>
      <c r="D40" s="91">
        <f>F40-'[1]EU - variety'!F40</f>
        <v>-1163.2672588207101</v>
      </c>
      <c r="E40" s="68">
        <f>Belgium!E$16+Italy!E$26+Poland!E$23+Netherlands!E$13+UK!E$17+France!E$33+Denmark!E$25</f>
        <v>22</v>
      </c>
      <c r="F40" s="91">
        <f>Belgium!F$16+Italy!F$26+Poland!F$23+Netherlands!F$13+UK!F$17+France!F$33+Denmark!F$24</f>
        <v>303.90214708135045</v>
      </c>
      <c r="G40" s="91">
        <f>Belgium!G$16+Italy!G$26+Poland!G$23+Netherlands!G$13+UK!G$17+France!G$33+Denmark!G$24</f>
        <v>111.01934470469584</v>
      </c>
      <c r="H40" s="86">
        <f>Belgium!H$16+Italy!H$26+Poland!H$23+Netherlands!H$13+UK!H$17+France!H$33+Denmark!H$24</f>
        <v>47.476848835289957</v>
      </c>
      <c r="I40" s="91">
        <f>Belgium!I$16+Italy!I$26+Poland!I$23+Netherlands!I$13+UK!I$17+France!I$33+Denmark!I$24</f>
        <v>94.579321044478291</v>
      </c>
      <c r="J40" s="91">
        <f>Belgium!J$16+Italy!J$26+Poland!J$23+Netherlands!J$13+UK!J$17+France!J$33+Denmark!J$24</f>
        <v>228</v>
      </c>
      <c r="K40" s="91">
        <f>Belgium!K$16+Italy!K$26+Poland!K$23+Netherlands!K$13+UK!K$17+France!K$33+Denmark!K$24</f>
        <v>93</v>
      </c>
      <c r="L40" s="91">
        <f>Belgium!L$16+Italy!L$26+Poland!L$23+Netherlands!L$13+UK!L$17+France!L$33</f>
        <v>0</v>
      </c>
      <c r="M40" s="91">
        <f>Belgium!M$16+Italy!M$26+Poland!M$23+Netherlands!M$13+UK!M$17+France!M$33</f>
        <v>39</v>
      </c>
      <c r="N40" s="91">
        <f>Belgium!N$16+Italy!N$26+Poland!N$23+Netherlands!N$13+UK!N$17+France!N$33</f>
        <v>6</v>
      </c>
      <c r="O40" s="91">
        <f>Belgium!O$16+Italy!O$26+Poland!O$23+Netherlands!O$13+UK!O$17+France!O$33</f>
        <v>0</v>
      </c>
      <c r="P40" s="93">
        <f>Belgium!P$16+Italy!P$26+Poland!P$23+Netherlands!P$13+UK!P$17</f>
        <v>0</v>
      </c>
    </row>
    <row r="41" spans="1:16" s="63" customFormat="1" x14ac:dyDescent="0.2">
      <c r="A41" s="66" t="s">
        <v>30</v>
      </c>
      <c r="B41" s="67">
        <f t="shared" si="3"/>
        <v>-1</v>
      </c>
      <c r="C41" s="147">
        <f>E41-'[1]EU - variety'!E41</f>
        <v>0</v>
      </c>
      <c r="D41" s="91">
        <f>F41-'[1]EU - variety'!F41</f>
        <v>-2988.0943821073233</v>
      </c>
      <c r="E41" s="68">
        <f>Italy!E$27</f>
        <v>0</v>
      </c>
      <c r="F41" s="91">
        <f>Italy!F$27</f>
        <v>810.35853971197707</v>
      </c>
      <c r="G41" s="91">
        <f>Italy!G$27</f>
        <v>2259.0144468612793</v>
      </c>
      <c r="H41" s="86">
        <f>Italy!H$27</f>
        <v>531.34407391133084</v>
      </c>
      <c r="I41" s="91">
        <f>Italy!I$27</f>
        <v>1411.3845740371353</v>
      </c>
      <c r="J41" s="91">
        <f>Italy!J$27</f>
        <v>456.11630154620212</v>
      </c>
      <c r="K41" s="91">
        <f>Italy!K$27</f>
        <v>3460.5096600809352</v>
      </c>
      <c r="L41" s="91">
        <f>Italy!L$27</f>
        <v>62</v>
      </c>
      <c r="M41" s="91">
        <f>Italy!M$27</f>
        <v>0</v>
      </c>
      <c r="N41" s="91">
        <f>Italy!N$27</f>
        <v>110.2569410366679</v>
      </c>
      <c r="O41" s="91">
        <f>Italy!O$27</f>
        <v>0</v>
      </c>
      <c r="P41" s="93">
        <f>Italy!P$27</f>
        <v>0</v>
      </c>
    </row>
    <row r="42" spans="1:16" s="63" customFormat="1" x14ac:dyDescent="0.2">
      <c r="A42" s="66" t="s">
        <v>152</v>
      </c>
      <c r="B42" s="67">
        <f t="shared" si="3"/>
        <v>-5.3309256496820286E-2</v>
      </c>
      <c r="C42" s="147">
        <f>E42-'[2]EU - variety'!E42</f>
        <v>-34817</v>
      </c>
      <c r="D42" s="91">
        <f>F42-'[2]EU - variety'!F42</f>
        <v>-28598</v>
      </c>
      <c r="E42" s="68">
        <f>Portugal!E$13</f>
        <v>12058</v>
      </c>
      <c r="F42" s="91">
        <f>Portugal!F$13</f>
        <v>12737</v>
      </c>
      <c r="G42" s="91">
        <f>Portugal!G$13</f>
        <v>5745</v>
      </c>
      <c r="H42" s="86">
        <f>Portugal!H$13</f>
        <v>4397</v>
      </c>
      <c r="I42" s="91">
        <f>Portugal!I$13</f>
        <v>2891</v>
      </c>
      <c r="J42" s="91">
        <f>Portugal!J$13</f>
        <v>6678.5714285714284</v>
      </c>
      <c r="K42" s="91">
        <f>Portugal!K$13</f>
        <v>26042.682926829268</v>
      </c>
      <c r="L42" s="91">
        <f>Portugal!L$13</f>
        <v>0</v>
      </c>
      <c r="M42" s="91">
        <f>Portugal!M$13</f>
        <v>0</v>
      </c>
      <c r="N42" s="91">
        <f>Portugal!N$13</f>
        <v>0</v>
      </c>
      <c r="O42" s="91"/>
      <c r="P42" s="93"/>
    </row>
    <row r="43" spans="1:16" s="63" customFormat="1" ht="13.5" thickBot="1" x14ac:dyDescent="0.25">
      <c r="A43" s="70" t="s">
        <v>6</v>
      </c>
      <c r="B43" s="71">
        <f t="shared" si="3"/>
        <v>-0.14666245690433583</v>
      </c>
      <c r="C43" s="148">
        <f>E43-'[1]EU - variety'!E43</f>
        <v>-3534.3390824091584</v>
      </c>
      <c r="D43" s="92">
        <f>F43-'[1]EU - variety'!F43</f>
        <v>-6924.0634276485762</v>
      </c>
      <c r="E43" s="72">
        <f>Belgium!E$18+Denmark!E$26+Germany!E$25+Italy!E$28+Poland!E$24+Spain!E$15+Spain!E$16+Switzerland!E$23+Switzerland!E$25+Switzerland!E$26+Switzerland!E$27+Netherlands!E$14+UK!E$18+'Czech Republic'!E$17+'Czech Republic'!E$18+'Czech Republic'!E$19+'Czech Republic'!E$20+France!E$31+France!E$35+France!E$36+France!E$37+France!E$30</f>
        <v>2880.5716912176722</v>
      </c>
      <c r="F43" s="92">
        <f>Belgium!F$18+Denmark!F$25+Germany!F$25+Italy!F$28+Poland!F$24+Spain!F$15+Spain!F$16+Switzerland!F$23+Switzerland!F$25+Switzerland!F$26+Switzerland!F$27+Netherlands!F$14+UK!F$18+'Czech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</f>
        <v>3375.653297483881</v>
      </c>
      <c r="G43" s="92">
        <f>Belgium!G$18+Denmark!G$25+Germany!G$25+Italy!G$28+Poland!G$24+Spain!G$15+Spain!G$16+Switzerland!G$23+Switzerland!G$25+Switzerland!G$26+Switzerland!G$27+Netherlands!G$14+UK!G$18+'Czech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</f>
        <v>732</v>
      </c>
      <c r="H43" s="86">
        <f>Belgium!H$18+Denmark!H$25+Germany!H$25+Italy!H$28+Poland!H$24+Spain!H$15+Spain!H$16+Switzerland!H$23+Switzerland!H$25+Switzerland!H$26+Switzerland!H$27+Netherlands!H$14+UK!H$18+'Czech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</f>
        <v>637</v>
      </c>
      <c r="I43" s="92">
        <f>Belgium!I$18+Denmark!I$25+Germany!I$25+Italy!I$28+Poland!I$24+Spain!I$15+Spain!I$16+Switzerland!I$23+Switzerland!I$25+Switzerland!I$26+Switzerland!I$27+Netherlands!I$14+UK!I$18+'Czech Republic'!I$17+'Czech Republic'!I$18+'Czech Republic'!I$19+'Czech Republic'!I$20+France!I$31+France!I$35+France!I$36+France!I$37+France!I$30</f>
        <v>572.6136074214071</v>
      </c>
      <c r="J43" s="92">
        <f>Belgium!J$18+Denmark!J$25+Germany!J$25+Italy!J$28+Poland!J$24+Spain!J$15+Spain!J$16+Switzerland!J$23+Switzerland!J$25+Switzerland!J$27+Netherlands!J$14+UK!J$18+'Czech Republic'!J$17+'Czech Republic'!J$18+'Czech Republic'!J$19+'Czech Republic'!J$20+France!J$31+France!J$35+France!J$36+France!J$37+France!J$30</f>
        <v>2031.2290439664196</v>
      </c>
      <c r="K43" s="92">
        <f>Belgium!K$18+Denmark!K$25+Germany!K$25+Italy!K$28+Poland!K$24+Spain!K$15+Spain!K$16+Switzerland!K$23+Switzerland!K$25+Switzerland!K$27+Netherlands!K$14+UK!K$18+'Czech Republic'!K$17+'Czech Republic'!K$18+'Czech Republic'!K$19+'Czech Republic'!K$20+France!K$31+France!K$35+France!K$36+France!K$37+France!K$30</f>
        <v>2425.7112358121999</v>
      </c>
      <c r="L43" s="92">
        <f>Belgium!L$18+Denmark!L$25+Germany!L$25+Italy!L$28+Poland!L$24+Spain!L$15+Spain!L$16+Switzerland!L$23+Switzerland!L$25+Switzerland!L$27+Netherlands!L$14+UK!L$18+'Czech Republic'!L$17+'Czech Republic'!L$20+France!L$30+France!L$31+France!L$34+France!L$35+France!L$36+France!L$37</f>
        <v>41</v>
      </c>
      <c r="M43" s="92">
        <f>Belgium!M$18+Denmark!M$25+Germany!M$25+Italy!M$28+Poland!M$24+Spain!M$15+Spain!M$16+Switzerland!M$23+Switzerland!M$25+Switzerland!M$27+Netherlands!M$14+UK!M$18+'Czech Republic'!M$17+'Czech Republic'!M$20+France!M$30+France!M$31+France!M$34+France!M$35+France!M$36+France!M$37</f>
        <v>10921.564578752064</v>
      </c>
      <c r="N43" s="92">
        <f>Belgium!N$18+Denmark!N$25+Germany!N$25+Italy!N$28+Poland!N$24+Spain!N$15+Spain!N$16+Switzerland!N$23+Switzerland!N$25+Switzerland!N$27+Netherlands!N$14+UK!N$18+'Czech Republic'!N$17+'Czech Republic'!N$20+France!N$30+France!N$31+France!N$34+France!N$35+France!N$36+France!N$37</f>
        <v>466.41065380652441</v>
      </c>
      <c r="O43" s="92">
        <f>Belgium!O$18+Denmark!O$25+Germany!O$25+Italy!O$28+Poland!O$24+Spain!O$15+Spain!O$16+Switzerland!O$23+Switzerland!O$25+Switzerland!O$27+Netherlands!O$14+UK!O$18+'Czech Republic'!O$17+'Czech Republic'!O$20+France!O$30+France!O$31+France!O$34+France!O$35+France!O$36+France!O$37</f>
        <v>5810</v>
      </c>
      <c r="P43" s="94">
        <f>Belgium!P$18+Denmark!P$25+Germany!P$25+Italy!P$28+Poland!P$24+Spain!P$15+Spain!P$16+Switzerland!P$23+Switzerland!P$25+Switzerland!P$27+Netherlands!P$14+UK!P$18+'Czech Republic'!P$17+'Czech Republic'!P$20</f>
        <v>451</v>
      </c>
    </row>
    <row r="44" spans="1:16" s="63" customFormat="1" ht="13.5" thickBot="1" x14ac:dyDescent="0.25">
      <c r="A44" s="74" t="s">
        <v>93</v>
      </c>
      <c r="B44" s="113">
        <f t="shared" si="3"/>
        <v>-0.33869677542928406</v>
      </c>
      <c r="C44" s="155">
        <f>E44-'[1]EU - variety'!E44</f>
        <v>-78756.170912582849</v>
      </c>
      <c r="D44" s="124">
        <f>F44-'[1]EU - variety'!F44</f>
        <v>-129140.03734706709</v>
      </c>
      <c r="E44" s="132">
        <f t="shared" ref="E44:J44" si="4">SUM(E36:E43)</f>
        <v>103834.66099430954</v>
      </c>
      <c r="F44" s="124">
        <f t="shared" si="4"/>
        <v>157015.2044271577</v>
      </c>
      <c r="G44" s="124">
        <f t="shared" si="4"/>
        <v>127225.76386055752</v>
      </c>
      <c r="H44" s="104">
        <f t="shared" si="4"/>
        <v>118709.09867798789</v>
      </c>
      <c r="I44" s="104">
        <f t="shared" si="4"/>
        <v>157503.7098084004</v>
      </c>
      <c r="J44" s="104">
        <f t="shared" si="4"/>
        <v>114608.64044516603</v>
      </c>
      <c r="K44" s="104">
        <f t="shared" ref="K44:P44" si="5">SUM(K36:K43)</f>
        <v>133413.2517757981</v>
      </c>
      <c r="L44" s="104">
        <f t="shared" si="5"/>
        <v>49626.644313676508</v>
      </c>
      <c r="M44" s="104">
        <f t="shared" si="5"/>
        <v>141358.12157305106</v>
      </c>
      <c r="N44" s="104">
        <f t="shared" si="5"/>
        <v>109839.65628555002</v>
      </c>
      <c r="O44" s="104">
        <f t="shared" si="5"/>
        <v>114320</v>
      </c>
      <c r="P44" s="120">
        <f t="shared" si="5"/>
        <v>48250</v>
      </c>
    </row>
    <row r="45" spans="1:16" s="63" customFormat="1" x14ac:dyDescent="0.2">
      <c r="A45" s="3" t="s">
        <v>165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</row>
    <row r="46" spans="1:16" s="63" customFormat="1" x14ac:dyDescent="0.2">
      <c r="A46" s="63" t="s">
        <v>167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1:16" s="63" customFormat="1" x14ac:dyDescent="0.2"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</row>
  </sheetData>
  <phoneticPr fontId="2" type="noConversion"/>
  <pageMargins left="0.75" right="0.75" top="1" bottom="1" header="0.5" footer="0.5"/>
  <pageSetup paperSize="9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83" zoomScaleNormal="83" workbookViewId="0">
      <selection activeCell="E29" sqref="E29"/>
    </sheetView>
  </sheetViews>
  <sheetFormatPr defaultColWidth="9.28515625" defaultRowHeight="12.75" x14ac:dyDescent="0.2"/>
  <cols>
    <col min="1" max="1" width="29.28515625" customWidth="1"/>
    <col min="2" max="2" width="10.7109375" customWidth="1"/>
    <col min="3" max="3" width="11.5703125" bestFit="1" customWidth="1"/>
    <col min="4" max="5" width="11.5703125" style="9" customWidth="1"/>
    <col min="6" max="6" width="11.5703125" customWidth="1"/>
    <col min="7" max="7" width="11.42578125" style="9" customWidth="1"/>
    <col min="8" max="8" width="10.28515625" style="9" bestFit="1" customWidth="1"/>
    <col min="9" max="16" width="10.28515625" style="12" bestFit="1" customWidth="1"/>
    <col min="17" max="18" width="10.28515625" bestFit="1" customWidth="1"/>
  </cols>
  <sheetData>
    <row r="1" spans="1:18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8" x14ac:dyDescent="0.2">
      <c r="A2" s="27" t="s">
        <v>95</v>
      </c>
      <c r="B2" s="35">
        <f t="shared" ref="B2:B21" si="0">(E2-F2)/F2</f>
        <v>-0.7801990049751244</v>
      </c>
      <c r="C2" s="144">
        <f>E2-[1]Austria!E2</f>
        <v>-291.64</v>
      </c>
      <c r="D2" s="13">
        <f>F2-[1]Austria!F2</f>
        <v>-94.68</v>
      </c>
      <c r="E2" s="130">
        <v>88.36</v>
      </c>
      <c r="F2" s="86">
        <f>297+105</f>
        <v>402</v>
      </c>
      <c r="G2" s="13">
        <v>23</v>
      </c>
      <c r="H2" s="13">
        <v>0</v>
      </c>
      <c r="I2" s="13">
        <v>440.07</v>
      </c>
      <c r="J2" s="13">
        <v>438.56</v>
      </c>
      <c r="K2" s="13">
        <v>1077.5900000000001</v>
      </c>
      <c r="L2" s="13">
        <v>604</v>
      </c>
      <c r="M2" s="13">
        <v>1233</v>
      </c>
      <c r="N2" s="13">
        <v>1513</v>
      </c>
      <c r="O2" s="13">
        <v>1527</v>
      </c>
      <c r="P2" s="13">
        <v>2911</v>
      </c>
      <c r="Q2" s="13">
        <v>1901</v>
      </c>
      <c r="R2" s="37">
        <v>1613</v>
      </c>
    </row>
    <row r="3" spans="1:18" x14ac:dyDescent="0.2">
      <c r="A3" s="27" t="s">
        <v>4</v>
      </c>
      <c r="B3" s="35"/>
      <c r="C3" s="144">
        <f>E3-[1]Austria!E3</f>
        <v>0</v>
      </c>
      <c r="D3" s="13">
        <f>F3-[1]Austria!F3</f>
        <v>0</v>
      </c>
      <c r="E3" s="130">
        <v>0</v>
      </c>
      <c r="F3" s="86"/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/>
      <c r="O3" s="13">
        <v>0</v>
      </c>
      <c r="P3" s="13">
        <v>2</v>
      </c>
      <c r="Q3" s="13">
        <v>0</v>
      </c>
      <c r="R3" s="37">
        <v>0</v>
      </c>
    </row>
    <row r="4" spans="1:18" x14ac:dyDescent="0.2">
      <c r="A4" s="27" t="s">
        <v>11</v>
      </c>
      <c r="B4" s="35">
        <f t="shared" si="0"/>
        <v>-0.70705367913148376</v>
      </c>
      <c r="C4" s="144">
        <f>E4-[1]Austria!E4</f>
        <v>-1970.18</v>
      </c>
      <c r="D4" s="13">
        <f>F4-[1]Austria!F4</f>
        <v>-1868.880000000001</v>
      </c>
      <c r="E4" s="130">
        <v>1942.82</v>
      </c>
      <c r="F4" s="86">
        <f>4690+1942</f>
        <v>6632</v>
      </c>
      <c r="G4" s="13">
        <v>831</v>
      </c>
      <c r="H4" s="13">
        <v>165.64</v>
      </c>
      <c r="I4" s="13">
        <v>2496.4899999999998</v>
      </c>
      <c r="J4" s="13">
        <v>966.21</v>
      </c>
      <c r="K4" s="13">
        <v>3925.4</v>
      </c>
      <c r="L4" s="13">
        <v>483</v>
      </c>
      <c r="M4" s="13">
        <v>1226</v>
      </c>
      <c r="N4" s="13">
        <v>4</v>
      </c>
      <c r="O4" s="13">
        <v>2094</v>
      </c>
      <c r="P4" s="13">
        <v>413</v>
      </c>
      <c r="Q4" s="13">
        <v>106</v>
      </c>
      <c r="R4" s="37">
        <v>100</v>
      </c>
    </row>
    <row r="5" spans="1:18" x14ac:dyDescent="0.2">
      <c r="A5" s="27" t="s">
        <v>2</v>
      </c>
      <c r="B5" s="35">
        <f t="shared" si="0"/>
        <v>-0.99894459102902378</v>
      </c>
      <c r="C5" s="144">
        <f>E5-[1]Austria!E5</f>
        <v>-133</v>
      </c>
      <c r="D5" s="13">
        <f>F5-[1]Austria!F5</f>
        <v>-567.40000000000009</v>
      </c>
      <c r="E5" s="130">
        <v>2</v>
      </c>
      <c r="F5" s="86">
        <v>1895</v>
      </c>
      <c r="G5" s="13">
        <v>0</v>
      </c>
      <c r="H5" s="13">
        <v>0</v>
      </c>
      <c r="I5" s="13">
        <v>49.49</v>
      </c>
      <c r="J5" s="13">
        <v>319.16000000000003</v>
      </c>
      <c r="K5" s="13">
        <v>219.17</v>
      </c>
      <c r="L5" s="13">
        <v>28</v>
      </c>
      <c r="M5" s="13">
        <v>537</v>
      </c>
      <c r="N5" s="13">
        <v>373</v>
      </c>
      <c r="O5" s="13">
        <v>445</v>
      </c>
      <c r="P5" s="13">
        <v>143</v>
      </c>
      <c r="Q5" s="13">
        <v>403</v>
      </c>
      <c r="R5" s="37">
        <v>1379</v>
      </c>
    </row>
    <row r="6" spans="1:18" x14ac:dyDescent="0.2">
      <c r="A6" s="27" t="s">
        <v>156</v>
      </c>
      <c r="B6" s="35">
        <f t="shared" si="0"/>
        <v>-0.75324526334086561</v>
      </c>
      <c r="C6" s="144">
        <f>E6-[1]Austria!E6</f>
        <v>-1999.42</v>
      </c>
      <c r="D6" s="13">
        <f>F6-[1]Austria!F6</f>
        <v>-920.85999999999967</v>
      </c>
      <c r="E6" s="130">
        <v>1419.58</v>
      </c>
      <c r="F6" s="86">
        <v>5753</v>
      </c>
      <c r="G6" s="13">
        <v>1113</v>
      </c>
      <c r="H6" s="13">
        <v>687.81</v>
      </c>
      <c r="I6" s="13">
        <v>3348.15</v>
      </c>
      <c r="J6" s="13">
        <v>3334.01</v>
      </c>
      <c r="K6" s="13">
        <v>2074.54</v>
      </c>
      <c r="L6" s="13">
        <v>933</v>
      </c>
      <c r="M6" s="13">
        <v>1223</v>
      </c>
      <c r="N6" s="13"/>
      <c r="O6" s="13"/>
      <c r="P6" s="13"/>
      <c r="Q6" s="13"/>
      <c r="R6" s="37"/>
    </row>
    <row r="7" spans="1:18" x14ac:dyDescent="0.2">
      <c r="A7" s="29" t="s">
        <v>12</v>
      </c>
      <c r="B7" s="35">
        <f t="shared" si="0"/>
        <v>-0.67430122116689284</v>
      </c>
      <c r="C7" s="144">
        <f>E7-[1]Austria!E7</f>
        <v>-661.88</v>
      </c>
      <c r="D7" s="13">
        <f>F7-[1]Austria!F7</f>
        <v>-184.36000000000013</v>
      </c>
      <c r="E7" s="130">
        <v>720.12</v>
      </c>
      <c r="F7" s="86">
        <f>2180+31</f>
        <v>2211</v>
      </c>
      <c r="G7" s="13">
        <v>378</v>
      </c>
      <c r="H7" s="100">
        <v>8.08</v>
      </c>
      <c r="I7" s="100">
        <v>1166.55</v>
      </c>
      <c r="J7" s="100">
        <v>1050.4000000000001</v>
      </c>
      <c r="K7" s="100">
        <v>1269.57</v>
      </c>
      <c r="L7" s="100">
        <v>224</v>
      </c>
      <c r="M7" s="100">
        <v>1374</v>
      </c>
      <c r="N7" s="100">
        <v>287</v>
      </c>
      <c r="O7" s="100">
        <v>810</v>
      </c>
      <c r="P7" s="100">
        <v>404</v>
      </c>
      <c r="Q7" s="13">
        <v>600</v>
      </c>
      <c r="R7" s="37">
        <v>38</v>
      </c>
    </row>
    <row r="8" spans="1:18" x14ac:dyDescent="0.2">
      <c r="A8" s="27" t="s">
        <v>9</v>
      </c>
      <c r="B8" s="35">
        <f t="shared" si="0"/>
        <v>-0.52947165259348605</v>
      </c>
      <c r="C8" s="144">
        <f>E8-[1]Austria!E8</f>
        <v>-3087.32</v>
      </c>
      <c r="D8" s="13">
        <f>F8-[1]Austria!F8</f>
        <v>-4301.1000000000004</v>
      </c>
      <c r="E8" s="130">
        <v>3900.68</v>
      </c>
      <c r="F8" s="86">
        <f>5751+2539</f>
        <v>8290</v>
      </c>
      <c r="G8" s="13">
        <v>2970</v>
      </c>
      <c r="H8" s="13">
        <v>137.36000000000001</v>
      </c>
      <c r="I8" s="13">
        <v>5539.64</v>
      </c>
      <c r="J8" s="13">
        <v>5281.91</v>
      </c>
      <c r="K8" s="13">
        <v>8027.39</v>
      </c>
      <c r="L8" s="13">
        <v>1581</v>
      </c>
      <c r="M8" s="13">
        <v>4238</v>
      </c>
      <c r="N8" s="13">
        <v>8497</v>
      </c>
      <c r="O8" s="13">
        <v>4556</v>
      </c>
      <c r="P8" s="13">
        <v>7885</v>
      </c>
      <c r="Q8" s="13">
        <v>2524</v>
      </c>
      <c r="R8" s="37">
        <v>1939</v>
      </c>
    </row>
    <row r="9" spans="1:18" x14ac:dyDescent="0.2">
      <c r="A9" s="27" t="s">
        <v>14</v>
      </c>
      <c r="B9" s="35"/>
      <c r="C9" s="144">
        <f>E9-[1]Austria!E9</f>
        <v>0</v>
      </c>
      <c r="D9" s="13">
        <f>F9-[1]Austria!F9</f>
        <v>0</v>
      </c>
      <c r="E9" s="130"/>
      <c r="F9" s="86"/>
      <c r="G9" s="13"/>
      <c r="H9" s="13"/>
      <c r="I9" s="13"/>
      <c r="J9" s="13"/>
      <c r="K9" s="13"/>
      <c r="L9" s="13">
        <v>0</v>
      </c>
      <c r="M9" s="13">
        <v>0</v>
      </c>
      <c r="N9" s="13">
        <v>0</v>
      </c>
      <c r="O9" s="13">
        <v>44</v>
      </c>
      <c r="P9" s="13">
        <v>7</v>
      </c>
      <c r="Q9" s="13">
        <v>0</v>
      </c>
      <c r="R9" s="37">
        <v>44</v>
      </c>
    </row>
    <row r="10" spans="1:18" x14ac:dyDescent="0.2">
      <c r="A10" s="27" t="s">
        <v>3</v>
      </c>
      <c r="B10" s="35">
        <f t="shared" si="0"/>
        <v>-0.22768093181520743</v>
      </c>
      <c r="C10" s="144">
        <f>E10-[1]Austria!E10</f>
        <v>-3325.42</v>
      </c>
      <c r="D10" s="13">
        <f>F10-[1]Austria!F10</f>
        <v>-2559.5</v>
      </c>
      <c r="E10" s="130">
        <v>11802.58</v>
      </c>
      <c r="F10" s="86">
        <f>14095+1187</f>
        <v>15282</v>
      </c>
      <c r="G10" s="13">
        <v>10565</v>
      </c>
      <c r="H10" s="13">
        <v>9845.9699999999993</v>
      </c>
      <c r="I10" s="13">
        <v>24339.93</v>
      </c>
      <c r="J10" s="13">
        <v>29047.22</v>
      </c>
      <c r="K10" s="13">
        <v>16992.39</v>
      </c>
      <c r="L10" s="13">
        <v>23101</v>
      </c>
      <c r="M10" s="13">
        <v>31735</v>
      </c>
      <c r="N10" s="13">
        <v>23214</v>
      </c>
      <c r="O10" s="13">
        <v>26037</v>
      </c>
      <c r="P10" s="13">
        <v>30671</v>
      </c>
      <c r="Q10" s="13">
        <v>23550</v>
      </c>
      <c r="R10" s="37">
        <v>21168</v>
      </c>
    </row>
    <row r="11" spans="1:18" x14ac:dyDescent="0.2">
      <c r="A11" s="27" t="s">
        <v>17</v>
      </c>
      <c r="B11" s="35">
        <f t="shared" si="0"/>
        <v>-0.943492</v>
      </c>
      <c r="C11" s="144">
        <f>E11-[1]Austria!E11</f>
        <v>-22.717459999999999</v>
      </c>
      <c r="D11" s="13">
        <f>F11-[1]Austria!F11</f>
        <v>-10.24</v>
      </c>
      <c r="E11" s="130">
        <v>0.28254000000000001</v>
      </c>
      <c r="F11" s="86">
        <v>5</v>
      </c>
      <c r="G11" s="13">
        <v>5</v>
      </c>
      <c r="H11" s="100">
        <v>0</v>
      </c>
      <c r="I11" s="100">
        <v>9.09</v>
      </c>
      <c r="J11" s="100">
        <v>160.59</v>
      </c>
      <c r="K11" s="100">
        <v>0</v>
      </c>
      <c r="L11" s="100">
        <v>0</v>
      </c>
      <c r="M11" s="100">
        <v>11</v>
      </c>
      <c r="N11" s="100">
        <v>15</v>
      </c>
      <c r="O11" s="100">
        <v>0</v>
      </c>
      <c r="P11" s="100">
        <v>0</v>
      </c>
      <c r="Q11" s="13">
        <v>0</v>
      </c>
      <c r="R11" s="37">
        <v>0</v>
      </c>
    </row>
    <row r="12" spans="1:18" x14ac:dyDescent="0.2">
      <c r="A12" s="28" t="s">
        <v>10</v>
      </c>
      <c r="B12" s="35">
        <f t="shared" si="0"/>
        <v>-0.53807019631171915</v>
      </c>
      <c r="C12" s="144">
        <f>E12-[1]Austria!E12</f>
        <v>-667.48</v>
      </c>
      <c r="D12" s="13">
        <f>F12-[1]Austria!F12</f>
        <v>-515.57999999999993</v>
      </c>
      <c r="E12" s="130">
        <v>3882.52</v>
      </c>
      <c r="F12" s="86">
        <f>7318+1087</f>
        <v>8405</v>
      </c>
      <c r="G12" s="13">
        <v>1844</v>
      </c>
      <c r="H12" s="100">
        <v>102.01</v>
      </c>
      <c r="I12" s="100">
        <v>11725.99</v>
      </c>
      <c r="J12" s="100">
        <v>6371.31</v>
      </c>
      <c r="K12" s="100">
        <v>14994.43</v>
      </c>
      <c r="L12" s="100">
        <v>9429</v>
      </c>
      <c r="M12" s="100">
        <v>13767</v>
      </c>
      <c r="N12" s="100">
        <v>12011</v>
      </c>
      <c r="O12" s="100">
        <v>14479</v>
      </c>
      <c r="P12" s="100">
        <v>12421</v>
      </c>
      <c r="Q12" s="13">
        <v>7832</v>
      </c>
      <c r="R12" s="37">
        <v>11908</v>
      </c>
    </row>
    <row r="13" spans="1:18" x14ac:dyDescent="0.2">
      <c r="A13" s="28" t="s">
        <v>27</v>
      </c>
      <c r="B13" s="35">
        <f t="shared" si="0"/>
        <v>-0.54579335130278528</v>
      </c>
      <c r="C13" s="144">
        <f>E13-[1]Austria!E13</f>
        <v>-597.34000000000015</v>
      </c>
      <c r="D13" s="13">
        <f>F13-[1]Austria!F13</f>
        <v>-715.88000000000011</v>
      </c>
      <c r="E13" s="130">
        <v>2527.66</v>
      </c>
      <c r="F13" s="86">
        <f>5143+422</f>
        <v>5565</v>
      </c>
      <c r="G13" s="13">
        <v>881</v>
      </c>
      <c r="H13" s="100">
        <v>119.18</v>
      </c>
      <c r="I13" s="100">
        <v>5079.6000000000004</v>
      </c>
      <c r="J13" s="100">
        <v>4788.47</v>
      </c>
      <c r="K13" s="100">
        <v>5309.58</v>
      </c>
      <c r="L13" s="100">
        <v>3695</v>
      </c>
      <c r="M13" s="100">
        <v>5209</v>
      </c>
      <c r="N13" s="100">
        <v>5568</v>
      </c>
      <c r="O13" s="100">
        <v>6975</v>
      </c>
      <c r="P13" s="100">
        <v>4700</v>
      </c>
      <c r="Q13" s="13">
        <v>4187</v>
      </c>
      <c r="R13" s="37">
        <v>5377</v>
      </c>
    </row>
    <row r="14" spans="1:18" x14ac:dyDescent="0.2">
      <c r="A14" s="29" t="s">
        <v>26</v>
      </c>
      <c r="B14" s="35"/>
      <c r="C14" s="144">
        <f>E14-[1]Austria!E14</f>
        <v>-8</v>
      </c>
      <c r="D14" s="13">
        <f>F14-[1]Austria!F14</f>
        <v>0</v>
      </c>
      <c r="E14" s="130">
        <v>0</v>
      </c>
      <c r="F14" s="86">
        <v>0</v>
      </c>
      <c r="G14" s="13">
        <v>0</v>
      </c>
      <c r="H14" s="100">
        <v>0</v>
      </c>
      <c r="I14" s="100">
        <v>2048.2800000000002</v>
      </c>
      <c r="J14" s="100">
        <v>1119.08</v>
      </c>
      <c r="K14" s="100">
        <v>2407.84</v>
      </c>
      <c r="L14" s="100">
        <v>1720</v>
      </c>
      <c r="M14" s="100">
        <v>2791</v>
      </c>
      <c r="N14" s="100">
        <v>2485</v>
      </c>
      <c r="O14" s="100">
        <v>3482</v>
      </c>
      <c r="P14" s="100">
        <v>2849</v>
      </c>
      <c r="Q14" s="13">
        <v>3189</v>
      </c>
      <c r="R14" s="37">
        <v>3126</v>
      </c>
    </row>
    <row r="15" spans="1:18" x14ac:dyDescent="0.2">
      <c r="A15" s="29" t="s">
        <v>96</v>
      </c>
      <c r="B15" s="35"/>
      <c r="C15" s="144">
        <f>E15-[1]Austria!E15</f>
        <v>0</v>
      </c>
      <c r="D15" s="13">
        <f>F15-[1]Austria!F15</f>
        <v>0</v>
      </c>
      <c r="E15" s="130">
        <v>0</v>
      </c>
      <c r="F15" s="86">
        <v>0</v>
      </c>
      <c r="G15" s="13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3">
        <v>0</v>
      </c>
      <c r="R15" s="37">
        <v>0</v>
      </c>
    </row>
    <row r="16" spans="1:18" x14ac:dyDescent="0.2">
      <c r="A16" s="29" t="s">
        <v>13</v>
      </c>
      <c r="B16" s="35">
        <f t="shared" si="0"/>
        <v>-0.26659611992945331</v>
      </c>
      <c r="C16" s="144">
        <f>E16-[1]Austria!E16</f>
        <v>-135.16000000000003</v>
      </c>
      <c r="D16" s="13">
        <f>F16-[1]Austria!F16</f>
        <v>-262.14</v>
      </c>
      <c r="E16" s="130">
        <v>415.84</v>
      </c>
      <c r="F16" s="86">
        <v>567</v>
      </c>
      <c r="G16" s="13">
        <v>385</v>
      </c>
      <c r="H16" s="100">
        <v>13.13</v>
      </c>
      <c r="I16" s="100">
        <v>688.82</v>
      </c>
      <c r="J16" s="100">
        <v>279.77</v>
      </c>
      <c r="K16" s="100">
        <v>926.29</v>
      </c>
      <c r="L16" s="100">
        <v>487</v>
      </c>
      <c r="M16" s="100">
        <v>564</v>
      </c>
      <c r="N16" s="100">
        <v>1258</v>
      </c>
      <c r="O16" s="100">
        <v>965</v>
      </c>
      <c r="P16" s="100">
        <v>977</v>
      </c>
      <c r="Q16" s="13">
        <v>259</v>
      </c>
      <c r="R16" s="37">
        <v>507</v>
      </c>
    </row>
    <row r="17" spans="1:19" x14ac:dyDescent="0.2">
      <c r="A17" s="29" t="s">
        <v>135</v>
      </c>
      <c r="B17" s="35">
        <f t="shared" si="0"/>
        <v>9.6280360860513545E-2</v>
      </c>
      <c r="C17" s="144">
        <f>E17-[1]Austria!E17</f>
        <v>-117.25999999999999</v>
      </c>
      <c r="D17" s="13">
        <f>F17-[1]Austria!F17</f>
        <v>-108.38000000000011</v>
      </c>
      <c r="E17" s="130">
        <v>1579.74</v>
      </c>
      <c r="F17" s="86">
        <v>1441</v>
      </c>
      <c r="G17" s="13">
        <v>313</v>
      </c>
      <c r="H17" s="100"/>
      <c r="I17" s="100"/>
      <c r="J17" s="100"/>
      <c r="K17" s="100"/>
      <c r="L17" s="100"/>
      <c r="M17" s="100"/>
      <c r="N17" s="100"/>
      <c r="O17" s="100"/>
      <c r="P17" s="100"/>
      <c r="Q17" s="13"/>
      <c r="R17" s="37"/>
    </row>
    <row r="18" spans="1:19" x14ac:dyDescent="0.2">
      <c r="A18" s="29" t="s">
        <v>116</v>
      </c>
      <c r="B18" s="35"/>
      <c r="C18" s="144">
        <f>E18-[1]Austria!E18</f>
        <v>0</v>
      </c>
      <c r="D18" s="13">
        <f>F18-[1]Austria!F18</f>
        <v>-2.04</v>
      </c>
      <c r="E18" s="130">
        <v>0</v>
      </c>
      <c r="F18" s="86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8</v>
      </c>
      <c r="P18" s="13">
        <v>8</v>
      </c>
      <c r="Q18" s="13">
        <v>23</v>
      </c>
      <c r="R18" s="37">
        <v>0</v>
      </c>
    </row>
    <row r="19" spans="1:19" x14ac:dyDescent="0.2">
      <c r="A19" s="29" t="s">
        <v>97</v>
      </c>
      <c r="B19" s="35">
        <f t="shared" si="0"/>
        <v>-0.98671766848816023</v>
      </c>
      <c r="C19" s="144">
        <f>E19-[1]Austria!E19</f>
        <v>-482.54</v>
      </c>
      <c r="D19" s="13">
        <f>F19-[1]Austria!F19</f>
        <v>-574.52</v>
      </c>
      <c r="E19" s="130">
        <v>36.46</v>
      </c>
      <c r="F19" s="86">
        <f>355+2390</f>
        <v>2745</v>
      </c>
      <c r="G19" s="13">
        <v>0</v>
      </c>
      <c r="H19" s="13">
        <v>0</v>
      </c>
      <c r="I19" s="13">
        <v>1280.5899999999999</v>
      </c>
      <c r="J19" s="13">
        <v>1692.4</v>
      </c>
      <c r="K19" s="13">
        <v>1403.45</v>
      </c>
      <c r="L19" s="13">
        <v>343</v>
      </c>
      <c r="M19" s="13">
        <v>2066</v>
      </c>
      <c r="N19" s="13">
        <v>1317</v>
      </c>
      <c r="O19" s="13">
        <v>1461</v>
      </c>
      <c r="P19" s="13">
        <v>0</v>
      </c>
      <c r="Q19" s="13">
        <v>0</v>
      </c>
      <c r="R19" s="37">
        <v>0</v>
      </c>
    </row>
    <row r="20" spans="1:19" ht="13.5" thickBot="1" x14ac:dyDescent="0.25">
      <c r="A20" s="30" t="s">
        <v>59</v>
      </c>
      <c r="B20" s="36">
        <f t="shared" si="0"/>
        <v>-0.24702521008403364</v>
      </c>
      <c r="C20" s="145">
        <f>E20-[1]Austria!E20</f>
        <v>-353.96000000000004</v>
      </c>
      <c r="D20" s="15">
        <f>F20-[1]Austria!F20</f>
        <v>-115.27999999999997</v>
      </c>
      <c r="E20" s="131">
        <v>896.04</v>
      </c>
      <c r="F20" s="87">
        <f>719+471</f>
        <v>1190</v>
      </c>
      <c r="G20" s="15">
        <v>1</v>
      </c>
      <c r="H20" s="15">
        <v>54</v>
      </c>
      <c r="I20" s="101">
        <v>105.03</v>
      </c>
      <c r="J20" s="101">
        <v>255</v>
      </c>
      <c r="K20" s="101">
        <v>1001.4</v>
      </c>
      <c r="L20" s="101">
        <v>120</v>
      </c>
      <c r="M20" s="101">
        <v>90</v>
      </c>
      <c r="N20" s="101">
        <v>446</v>
      </c>
      <c r="O20" s="101">
        <v>66</v>
      </c>
      <c r="P20" s="101">
        <v>46</v>
      </c>
      <c r="Q20" s="15">
        <v>65</v>
      </c>
      <c r="R20" s="39">
        <v>104</v>
      </c>
    </row>
    <row r="21" spans="1:19" ht="13.5" thickBot="1" x14ac:dyDescent="0.25">
      <c r="A21" s="45" t="s">
        <v>23</v>
      </c>
      <c r="B21" s="41">
        <f t="shared" si="0"/>
        <v>-0.51617702764022988</v>
      </c>
      <c r="C21" s="155">
        <f>E21-[1]Austria!E21</f>
        <v>-13853.317459999998</v>
      </c>
      <c r="D21" s="42">
        <f>F21-[1]Austria!F21</f>
        <v>-12800.839999999997</v>
      </c>
      <c r="E21" s="123">
        <f>SUM(E2:E20)</f>
        <v>29214.682540000002</v>
      </c>
      <c r="F21" s="42">
        <f>SUM(F2:F20)</f>
        <v>60383</v>
      </c>
      <c r="G21" s="42">
        <f t="shared" ref="G21:L21" si="1">SUM(G2:G20)</f>
        <v>19309</v>
      </c>
      <c r="H21" s="42">
        <f t="shared" si="1"/>
        <v>11133.179999999998</v>
      </c>
      <c r="I21" s="42">
        <f t="shared" si="1"/>
        <v>58317.719999999987</v>
      </c>
      <c r="J21" s="42">
        <f t="shared" si="1"/>
        <v>55104.09</v>
      </c>
      <c r="K21" s="42">
        <f t="shared" si="1"/>
        <v>59629.040000000008</v>
      </c>
      <c r="L21" s="42">
        <f t="shared" si="1"/>
        <v>42748</v>
      </c>
      <c r="M21" s="42">
        <f t="shared" ref="M21:R21" si="2">SUM(M2:M20)</f>
        <v>66064</v>
      </c>
      <c r="N21" s="42">
        <f t="shared" si="2"/>
        <v>56988</v>
      </c>
      <c r="O21" s="42">
        <f t="shared" si="2"/>
        <v>62949</v>
      </c>
      <c r="P21" s="42">
        <f t="shared" si="2"/>
        <v>63437</v>
      </c>
      <c r="Q21" s="42">
        <f t="shared" si="2"/>
        <v>44639</v>
      </c>
      <c r="R21" s="43">
        <f t="shared" si="2"/>
        <v>47303</v>
      </c>
    </row>
    <row r="22" spans="1:19" s="9" customFormat="1" x14ac:dyDescent="0.2">
      <c r="B22" s="44"/>
      <c r="C22" s="44"/>
      <c r="D22" s="44"/>
      <c r="E22" s="44"/>
      <c r="F22" s="44"/>
      <c r="G22" s="44"/>
      <c r="H22" s="44"/>
      <c r="I22" s="12"/>
      <c r="J22" s="12"/>
      <c r="K22" s="12"/>
      <c r="L22" s="12"/>
      <c r="M22" s="12"/>
      <c r="N22" s="12"/>
      <c r="O22" s="12"/>
      <c r="P22" s="12"/>
    </row>
    <row r="27" spans="1:19" ht="18" x14ac:dyDescent="0.25">
      <c r="Q27" s="5"/>
      <c r="R27" s="1"/>
      <c r="S27" s="1"/>
    </row>
    <row r="28" spans="1:19" ht="18" x14ac:dyDescent="0.25">
      <c r="Q28" s="5"/>
      <c r="R28" s="1"/>
      <c r="S28" s="1"/>
    </row>
    <row r="29" spans="1:19" ht="18" x14ac:dyDescent="0.25">
      <c r="Q29" s="5"/>
      <c r="R29" s="1"/>
      <c r="S29" s="1"/>
    </row>
    <row r="30" spans="1:19" ht="18" x14ac:dyDescent="0.25">
      <c r="Q30" s="5"/>
      <c r="R30" s="1"/>
      <c r="S30" s="1"/>
    </row>
    <row r="31" spans="1:19" ht="18" x14ac:dyDescent="0.25">
      <c r="Q31" s="5"/>
      <c r="R31" s="1"/>
      <c r="S31" s="1"/>
    </row>
    <row r="32" spans="1:19" ht="18" x14ac:dyDescent="0.25">
      <c r="Q32" s="5"/>
      <c r="R32" s="1"/>
      <c r="S32" s="1"/>
    </row>
    <row r="33" spans="17:19" ht="18" x14ac:dyDescent="0.25">
      <c r="Q33" s="5"/>
      <c r="R33" s="1"/>
      <c r="S33" s="1"/>
    </row>
    <row r="34" spans="17:19" ht="18" x14ac:dyDescent="0.25">
      <c r="Q34" s="5"/>
      <c r="R34" s="1"/>
      <c r="S34" s="1"/>
    </row>
    <row r="35" spans="17:19" ht="18" x14ac:dyDescent="0.25">
      <c r="Q35" s="5"/>
      <c r="R35" s="1"/>
      <c r="S35" s="1"/>
    </row>
    <row r="36" spans="17:19" ht="18" x14ac:dyDescent="0.25">
      <c r="Q36" s="5"/>
      <c r="R36" s="1"/>
      <c r="S36" s="1"/>
    </row>
    <row r="37" spans="17:19" ht="18" x14ac:dyDescent="0.25">
      <c r="Q37" s="6"/>
      <c r="R37" s="1"/>
      <c r="S37" s="1"/>
    </row>
    <row r="38" spans="17:19" ht="18.75" x14ac:dyDescent="0.3">
      <c r="Q38" s="7"/>
      <c r="R38" s="2"/>
      <c r="S38" s="2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C17" sqref="C17"/>
    </sheetView>
  </sheetViews>
  <sheetFormatPr defaultColWidth="9.28515625" defaultRowHeight="12.75" x14ac:dyDescent="0.2"/>
  <cols>
    <col min="1" max="1" width="29.28515625" customWidth="1"/>
    <col min="2" max="2" width="10.7109375" customWidth="1"/>
    <col min="3" max="3" width="11.5703125" bestFit="1" customWidth="1"/>
    <col min="4" max="6" width="11.5703125" style="9" customWidth="1"/>
    <col min="7" max="7" width="11.28515625" style="9" customWidth="1"/>
    <col min="8" max="8" width="10.28515625" style="9" bestFit="1" customWidth="1"/>
    <col min="9" max="16" width="10.28515625" style="12" bestFit="1" customWidth="1"/>
    <col min="17" max="18" width="10.28515625" bestFit="1" customWidth="1"/>
  </cols>
  <sheetData>
    <row r="1" spans="1:18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63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8" x14ac:dyDescent="0.2">
      <c r="A2" s="27" t="s">
        <v>4</v>
      </c>
      <c r="B2" s="35">
        <f t="shared" ref="B2:B10" si="0">(E2-F2)/F2</f>
        <v>-1</v>
      </c>
      <c r="C2" s="144">
        <f>E2-[1]Belgium!E2</f>
        <v>0</v>
      </c>
      <c r="D2" s="13">
        <f>F2-[1]Belgium!F2</f>
        <v>-1115</v>
      </c>
      <c r="E2" s="164">
        <v>0</v>
      </c>
      <c r="F2" s="13">
        <v>590</v>
      </c>
      <c r="G2" s="13">
        <v>0</v>
      </c>
      <c r="H2" s="13">
        <v>0</v>
      </c>
      <c r="I2" s="13">
        <v>396</v>
      </c>
      <c r="J2" s="13">
        <v>124</v>
      </c>
      <c r="K2" s="13">
        <v>291</v>
      </c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4800</v>
      </c>
      <c r="R2" s="37">
        <v>1100</v>
      </c>
    </row>
    <row r="3" spans="1:18" x14ac:dyDescent="0.2">
      <c r="A3" s="27" t="s">
        <v>164</v>
      </c>
      <c r="B3" s="35"/>
      <c r="C3" s="144">
        <f>E3-[1]Belgium!E3</f>
        <v>0</v>
      </c>
      <c r="D3" s="13">
        <f>F3-[1]Belgium!F3</f>
        <v>0</v>
      </c>
      <c r="E3" s="164"/>
      <c r="F3" s="13"/>
      <c r="G3" s="13"/>
      <c r="H3" s="13"/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700</v>
      </c>
      <c r="R3" s="37">
        <v>0</v>
      </c>
    </row>
    <row r="4" spans="1:18" x14ac:dyDescent="0.2">
      <c r="A4" s="27" t="s">
        <v>2</v>
      </c>
      <c r="B4" s="35">
        <f t="shared" si="0"/>
        <v>-1</v>
      </c>
      <c r="C4" s="144">
        <f>E4-[1]Belgium!E4</f>
        <v>-57</v>
      </c>
      <c r="D4" s="13">
        <f>F4-[1]Belgium!F4</f>
        <v>-243</v>
      </c>
      <c r="E4" s="164">
        <v>0</v>
      </c>
      <c r="F4" s="13">
        <v>694</v>
      </c>
      <c r="G4" s="13">
        <v>0</v>
      </c>
      <c r="H4" s="13">
        <v>1</v>
      </c>
      <c r="I4" s="13">
        <v>234</v>
      </c>
      <c r="J4" s="13">
        <v>475</v>
      </c>
      <c r="K4" s="13">
        <v>8</v>
      </c>
      <c r="L4" s="13">
        <v>0</v>
      </c>
      <c r="M4" s="13">
        <v>10</v>
      </c>
      <c r="N4" s="13">
        <v>0</v>
      </c>
      <c r="O4" s="13">
        <v>1</v>
      </c>
      <c r="P4" s="13">
        <v>0</v>
      </c>
      <c r="Q4" s="13">
        <v>1500</v>
      </c>
      <c r="R4" s="37">
        <v>0</v>
      </c>
    </row>
    <row r="5" spans="1:18" x14ac:dyDescent="0.2">
      <c r="A5" s="27" t="s">
        <v>102</v>
      </c>
      <c r="B5" s="35"/>
      <c r="C5" s="144">
        <f>E5-[1]Belgium!E5</f>
        <v>0</v>
      </c>
      <c r="D5" s="13">
        <f>F5-[1]Belgium!F5</f>
        <v>0</v>
      </c>
      <c r="E5" s="164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37">
        <v>100</v>
      </c>
    </row>
    <row r="6" spans="1:18" x14ac:dyDescent="0.2">
      <c r="A6" s="27" t="s">
        <v>3</v>
      </c>
      <c r="B6" s="35">
        <f t="shared" si="0"/>
        <v>1.0868859114900529</v>
      </c>
      <c r="C6" s="144">
        <f>E6-[1]Belgium!E6</f>
        <v>-2181</v>
      </c>
      <c r="D6" s="13">
        <f>F6-[1]Belgium!F6</f>
        <v>-1548</v>
      </c>
      <c r="E6" s="164">
        <v>10280</v>
      </c>
      <c r="F6" s="13">
        <v>4926</v>
      </c>
      <c r="G6" s="13">
        <v>3129</v>
      </c>
      <c r="H6" s="13">
        <v>7085</v>
      </c>
      <c r="I6" s="13">
        <v>10072</v>
      </c>
      <c r="J6" s="13">
        <v>6464</v>
      </c>
      <c r="K6" s="13">
        <v>5900</v>
      </c>
      <c r="L6" s="13">
        <v>4235</v>
      </c>
      <c r="M6" s="13">
        <v>5700</v>
      </c>
      <c r="N6" s="13">
        <v>1340</v>
      </c>
      <c r="O6" s="13">
        <v>11424</v>
      </c>
      <c r="P6" s="13">
        <v>5900</v>
      </c>
      <c r="Q6" s="13">
        <v>10700</v>
      </c>
      <c r="R6" s="37">
        <v>8500</v>
      </c>
    </row>
    <row r="7" spans="1:18" x14ac:dyDescent="0.2">
      <c r="A7" s="28" t="s">
        <v>27</v>
      </c>
      <c r="B7" s="35">
        <f t="shared" si="0"/>
        <v>0.17612490132444522</v>
      </c>
      <c r="C7" s="144">
        <f>E7-[1]Belgium!E7</f>
        <v>-7253</v>
      </c>
      <c r="D7" s="13">
        <f>F7-[1]Belgium!F7</f>
        <v>-6420</v>
      </c>
      <c r="E7" s="164">
        <v>26818</v>
      </c>
      <c r="F7" s="13">
        <v>22802</v>
      </c>
      <c r="G7" s="13">
        <v>770</v>
      </c>
      <c r="H7" s="100">
        <v>15850</v>
      </c>
      <c r="I7" s="100">
        <v>34178</v>
      </c>
      <c r="J7" s="100">
        <v>40186</v>
      </c>
      <c r="K7" s="100">
        <v>19542</v>
      </c>
      <c r="L7" s="100">
        <v>12963</v>
      </c>
      <c r="M7" s="100">
        <v>20700</v>
      </c>
      <c r="N7" s="100">
        <v>30448</v>
      </c>
      <c r="O7" s="100">
        <v>53743</v>
      </c>
      <c r="P7" s="100">
        <v>80800</v>
      </c>
      <c r="Q7" s="13">
        <v>57700</v>
      </c>
      <c r="R7" s="37">
        <v>60400</v>
      </c>
    </row>
    <row r="8" spans="1:18" x14ac:dyDescent="0.2">
      <c r="A8" s="29" t="s">
        <v>26</v>
      </c>
      <c r="B8" s="35">
        <f t="shared" si="0"/>
        <v>0.12215404898331728</v>
      </c>
      <c r="C8" s="144">
        <f>E8-[1]Belgium!E8</f>
        <v>-2634</v>
      </c>
      <c r="D8" s="13">
        <f>F8-[1]Belgium!F8</f>
        <v>-4999</v>
      </c>
      <c r="E8" s="164">
        <v>22130</v>
      </c>
      <c r="F8" s="13">
        <v>19721</v>
      </c>
      <c r="G8" s="13">
        <v>114</v>
      </c>
      <c r="H8" s="100">
        <v>9177</v>
      </c>
      <c r="I8" s="100">
        <v>9832</v>
      </c>
      <c r="J8" s="100">
        <v>16969</v>
      </c>
      <c r="K8" s="100">
        <v>5062</v>
      </c>
      <c r="L8" s="100">
        <v>6252</v>
      </c>
      <c r="M8" s="100">
        <v>13300</v>
      </c>
      <c r="N8" s="100">
        <v>4731</v>
      </c>
      <c r="O8" s="100">
        <v>12100</v>
      </c>
      <c r="P8" s="100">
        <v>15400</v>
      </c>
      <c r="Q8" s="13">
        <v>22200</v>
      </c>
      <c r="R8" s="37">
        <v>20000</v>
      </c>
    </row>
    <row r="9" spans="1:18" ht="13.5" thickBot="1" x14ac:dyDescent="0.25">
      <c r="A9" s="30" t="s">
        <v>59</v>
      </c>
      <c r="B9" s="36">
        <f t="shared" si="0"/>
        <v>-0.67166813768755518</v>
      </c>
      <c r="C9" s="145">
        <f>E9-[1]Belgium!E9</f>
        <v>-2623</v>
      </c>
      <c r="D9" s="15">
        <f>F9-[1]Belgium!F9</f>
        <v>-3412</v>
      </c>
      <c r="E9" s="165">
        <v>2232</v>
      </c>
      <c r="F9" s="15">
        <v>6798</v>
      </c>
      <c r="G9" s="15">
        <v>1093</v>
      </c>
      <c r="H9" s="101">
        <v>77</v>
      </c>
      <c r="I9" s="101">
        <v>5663</v>
      </c>
      <c r="J9" s="101">
        <v>1428</v>
      </c>
      <c r="K9" s="101">
        <v>2930</v>
      </c>
      <c r="L9" s="101">
        <v>2617</v>
      </c>
      <c r="M9" s="101">
        <v>3500</v>
      </c>
      <c r="N9" s="101">
        <v>8242</v>
      </c>
      <c r="O9" s="101">
        <v>4674</v>
      </c>
      <c r="P9" s="101">
        <v>15200</v>
      </c>
      <c r="Q9" s="15">
        <v>15300</v>
      </c>
      <c r="R9" s="39">
        <v>1400</v>
      </c>
    </row>
    <row r="10" spans="1:18" ht="13.5" thickBot="1" x14ac:dyDescent="0.25">
      <c r="A10" s="45" t="s">
        <v>23</v>
      </c>
      <c r="B10" s="41">
        <f t="shared" si="0"/>
        <v>0.10676919198285642</v>
      </c>
      <c r="C10" s="155">
        <f>E10-[1]Belgium!E10</f>
        <v>-14748</v>
      </c>
      <c r="D10" s="42">
        <f>F10-[1]Belgium!F10</f>
        <v>-17737</v>
      </c>
      <c r="E10" s="162">
        <v>61460</v>
      </c>
      <c r="F10" s="42">
        <f>SUM(F2:F9)</f>
        <v>55531</v>
      </c>
      <c r="G10" s="42">
        <f>SUM(G2:G9)</f>
        <v>5106</v>
      </c>
      <c r="H10" s="42">
        <v>32190</v>
      </c>
      <c r="I10" s="42">
        <v>60375</v>
      </c>
      <c r="J10" s="42">
        <f>SUM(J2:J9)</f>
        <v>65646</v>
      </c>
      <c r="K10" s="42">
        <f>SUM(K2:K9)</f>
        <v>33733</v>
      </c>
      <c r="L10" s="42">
        <f>SUM(L2:L9)</f>
        <v>26067</v>
      </c>
      <c r="M10" s="42">
        <f t="shared" ref="M10:R10" si="1">SUM(M2:M9)</f>
        <v>43210</v>
      </c>
      <c r="N10" s="42">
        <f t="shared" si="1"/>
        <v>44761</v>
      </c>
      <c r="O10" s="42">
        <f t="shared" si="1"/>
        <v>81942</v>
      </c>
      <c r="P10" s="42">
        <f t="shared" si="1"/>
        <v>117300</v>
      </c>
      <c r="Q10" s="42">
        <f t="shared" si="1"/>
        <v>112900</v>
      </c>
      <c r="R10" s="43">
        <f t="shared" si="1"/>
        <v>91500</v>
      </c>
    </row>
    <row r="11" spans="1:18" s="9" customFormat="1" x14ac:dyDescent="0.2">
      <c r="A11" s="9" t="s">
        <v>103</v>
      </c>
      <c r="B11" s="44"/>
      <c r="C11" s="44"/>
      <c r="D11" s="44"/>
      <c r="E11" s="157"/>
      <c r="F11" s="44"/>
      <c r="G11" s="44"/>
      <c r="H11" s="12"/>
      <c r="I11" s="12"/>
      <c r="J11" s="12"/>
      <c r="K11" s="12"/>
      <c r="L11" s="12"/>
      <c r="M11" s="12"/>
      <c r="N11" s="12"/>
      <c r="O11" s="12"/>
      <c r="P11" s="12"/>
    </row>
    <row r="12" spans="1:18" s="9" customFormat="1" x14ac:dyDescent="0.2">
      <c r="A12" s="9" t="s">
        <v>163</v>
      </c>
      <c r="B12" s="44"/>
      <c r="C12" s="44"/>
      <c r="D12" s="44"/>
      <c r="E12" s="157"/>
      <c r="F12" s="44"/>
      <c r="G12" s="44"/>
      <c r="H12" s="12"/>
      <c r="I12" s="12"/>
      <c r="J12" s="12"/>
      <c r="K12" s="12"/>
      <c r="L12" s="12"/>
      <c r="M12" s="12"/>
      <c r="N12" s="12"/>
      <c r="O12" s="12"/>
      <c r="P12" s="12"/>
    </row>
    <row r="13" spans="1:18" s="9" customFormat="1" ht="13.5" thickBot="1" x14ac:dyDescent="0.25">
      <c r="B13" s="44"/>
      <c r="C13" s="44"/>
      <c r="D13" s="44"/>
      <c r="E13" s="157"/>
      <c r="F13" s="44"/>
      <c r="G13" s="44"/>
      <c r="H13" s="12"/>
      <c r="I13" s="12"/>
      <c r="J13" s="12"/>
      <c r="K13" s="12"/>
      <c r="L13" s="12"/>
      <c r="M13" s="12"/>
      <c r="N13" s="12"/>
      <c r="O13" s="12"/>
      <c r="P13" s="12"/>
    </row>
    <row r="14" spans="1:18" s="16" customFormat="1" ht="13.5" thickBot="1" x14ac:dyDescent="0.25">
      <c r="A14" s="31" t="s">
        <v>25</v>
      </c>
      <c r="B14" s="32" t="s">
        <v>176</v>
      </c>
      <c r="C14" s="62" t="s">
        <v>177</v>
      </c>
      <c r="D14" s="99" t="s">
        <v>174</v>
      </c>
      <c r="E14" s="163">
        <v>43952</v>
      </c>
      <c r="F14" s="137">
        <v>43586</v>
      </c>
      <c r="G14" s="137">
        <v>43221</v>
      </c>
      <c r="H14" s="33">
        <v>42856</v>
      </c>
      <c r="I14" s="33">
        <v>42491</v>
      </c>
      <c r="J14" s="33">
        <v>42125</v>
      </c>
      <c r="K14" s="33">
        <v>41760</v>
      </c>
      <c r="L14" s="33">
        <v>41395</v>
      </c>
      <c r="M14" s="33">
        <v>41030</v>
      </c>
      <c r="N14" s="33">
        <v>40664</v>
      </c>
      <c r="O14" s="33">
        <v>40299</v>
      </c>
      <c r="P14" s="33">
        <v>39934</v>
      </c>
      <c r="Q14" s="33">
        <v>39569</v>
      </c>
      <c r="R14" s="34">
        <v>39203</v>
      </c>
    </row>
    <row r="15" spans="1:18" x14ac:dyDescent="0.2">
      <c r="A15" s="27" t="s">
        <v>7</v>
      </c>
      <c r="B15" s="35">
        <f>(E15-F15)/F15</f>
        <v>-0.63516024152345563</v>
      </c>
      <c r="C15" s="144">
        <f>E15-[1]Belgium!E15</f>
        <v>-43853</v>
      </c>
      <c r="D15" s="13">
        <f>F15-[1]Belgium!F15</f>
        <v>-31246</v>
      </c>
      <c r="E15" s="164">
        <v>14139</v>
      </c>
      <c r="F15" s="13">
        <v>38754</v>
      </c>
      <c r="G15" s="13">
        <v>12520</v>
      </c>
      <c r="H15" s="13">
        <v>24920</v>
      </c>
      <c r="I15" s="13">
        <v>48359</v>
      </c>
      <c r="J15" s="13">
        <v>24828</v>
      </c>
      <c r="K15" s="13">
        <v>11732</v>
      </c>
      <c r="L15" s="13">
        <v>13000</v>
      </c>
      <c r="M15" s="13">
        <v>15000</v>
      </c>
      <c r="N15" s="13">
        <v>30900</v>
      </c>
      <c r="O15" s="13">
        <v>22100</v>
      </c>
      <c r="P15" s="13">
        <v>0</v>
      </c>
      <c r="Q15" s="13">
        <v>51300</v>
      </c>
      <c r="R15" s="37">
        <v>46100</v>
      </c>
    </row>
    <row r="16" spans="1:18" x14ac:dyDescent="0.2">
      <c r="A16" s="27" t="s">
        <v>101</v>
      </c>
      <c r="B16" s="35"/>
      <c r="C16" s="144">
        <f>E16-[1]Belgium!E16</f>
        <v>0</v>
      </c>
      <c r="D16" s="13">
        <f>F16-[1]Belgium!F16</f>
        <v>-247</v>
      </c>
      <c r="E16" s="164">
        <v>0</v>
      </c>
      <c r="F16" s="13"/>
      <c r="G16" s="13">
        <v>0</v>
      </c>
      <c r="H16" s="13">
        <v>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37">
        <v>400</v>
      </c>
    </row>
    <row r="17" spans="1:19" x14ac:dyDescent="0.2">
      <c r="A17" s="27" t="s">
        <v>166</v>
      </c>
      <c r="B17" s="35"/>
      <c r="C17" s="144">
        <f>E17-[1]Belgium!E17</f>
        <v>0</v>
      </c>
      <c r="D17" s="13">
        <f>F17-[1]Belgium!F17</f>
        <v>0</v>
      </c>
      <c r="E17" s="164">
        <v>0</v>
      </c>
      <c r="F17" s="13"/>
      <c r="G17" s="13">
        <v>0</v>
      </c>
      <c r="H17" s="13">
        <v>0</v>
      </c>
      <c r="I17" s="13">
        <v>0</v>
      </c>
      <c r="J17" s="13"/>
      <c r="K17" s="13"/>
      <c r="L17" s="13"/>
      <c r="M17" s="13"/>
      <c r="N17" s="13"/>
      <c r="O17" s="13"/>
      <c r="P17" s="13"/>
      <c r="Q17" s="13"/>
      <c r="R17" s="37"/>
    </row>
    <row r="18" spans="1:19" ht="13.5" thickBot="1" x14ac:dyDescent="0.25">
      <c r="A18" s="38" t="s">
        <v>6</v>
      </c>
      <c r="B18" s="36">
        <f>(E18-F18)/F18</f>
        <v>-0.59523809523809523</v>
      </c>
      <c r="C18" s="145">
        <f>E18-[1]Belgium!E18</f>
        <v>-55</v>
      </c>
      <c r="D18" s="15">
        <f>F18-[1]Belgium!F18</f>
        <v>-472</v>
      </c>
      <c r="E18" s="165">
        <v>153</v>
      </c>
      <c r="F18" s="15">
        <v>378</v>
      </c>
      <c r="G18" s="15">
        <v>0</v>
      </c>
      <c r="H18" s="15">
        <v>0</v>
      </c>
      <c r="I18" s="15">
        <v>0</v>
      </c>
      <c r="J18" s="15">
        <v>331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39">
        <v>500</v>
      </c>
    </row>
    <row r="19" spans="1:19" ht="13.5" thickBot="1" x14ac:dyDescent="0.25">
      <c r="A19" s="40" t="s">
        <v>23</v>
      </c>
      <c r="B19" s="41">
        <f>(E19-F19)/F19</f>
        <v>-0.63477460901563942</v>
      </c>
      <c r="C19" s="155">
        <f>E19-[1]Belgium!E19</f>
        <v>-43908</v>
      </c>
      <c r="D19" s="42">
        <f>F19-[1]Belgium!F19</f>
        <v>-31965</v>
      </c>
      <c r="E19" s="162">
        <v>14292</v>
      </c>
      <c r="F19" s="42">
        <f>SUM(F15:F18)</f>
        <v>39132</v>
      </c>
      <c r="G19" s="42">
        <f>SUM(G15:G18)</f>
        <v>12520</v>
      </c>
      <c r="H19" s="42">
        <v>24929</v>
      </c>
      <c r="I19" s="42">
        <v>48359</v>
      </c>
      <c r="J19" s="42">
        <f>SUM(J15:J18)</f>
        <v>25159</v>
      </c>
      <c r="K19" s="42">
        <f>SUM(K15:K18)</f>
        <v>11732</v>
      </c>
      <c r="L19" s="42">
        <f>SUM(L15:L18)</f>
        <v>13000</v>
      </c>
      <c r="M19" s="42">
        <f t="shared" ref="M19:R19" si="2">SUM(M15:M18)</f>
        <v>15000</v>
      </c>
      <c r="N19" s="42">
        <f t="shared" si="2"/>
        <v>30900</v>
      </c>
      <c r="O19" s="42">
        <f t="shared" si="2"/>
        <v>22100</v>
      </c>
      <c r="P19" s="42">
        <f t="shared" si="2"/>
        <v>0</v>
      </c>
      <c r="Q19" s="42">
        <f t="shared" si="2"/>
        <v>51300</v>
      </c>
      <c r="R19" s="43">
        <f t="shared" si="2"/>
        <v>47000</v>
      </c>
    </row>
    <row r="26" spans="1:19" ht="18" x14ac:dyDescent="0.25">
      <c r="Q26" s="5"/>
      <c r="R26" s="1"/>
      <c r="S26" s="1"/>
    </row>
    <row r="27" spans="1:19" ht="18" x14ac:dyDescent="0.25">
      <c r="Q27" s="5"/>
      <c r="R27" s="1"/>
      <c r="S27" s="1"/>
    </row>
    <row r="28" spans="1:19" ht="18" x14ac:dyDescent="0.25">
      <c r="Q28" s="5"/>
      <c r="R28" s="1"/>
      <c r="S28" s="1"/>
    </row>
    <row r="29" spans="1:19" ht="18" x14ac:dyDescent="0.25">
      <c r="Q29" s="5"/>
      <c r="R29" s="1"/>
      <c r="S29" s="1"/>
    </row>
    <row r="30" spans="1:19" ht="18" x14ac:dyDescent="0.25">
      <c r="Q30" s="5"/>
      <c r="R30" s="1"/>
      <c r="S30" s="1"/>
    </row>
    <row r="31" spans="1:19" ht="18" x14ac:dyDescent="0.25">
      <c r="Q31" s="5"/>
      <c r="R31" s="1"/>
      <c r="S31" s="1"/>
    </row>
    <row r="32" spans="1:19" ht="18" x14ac:dyDescent="0.25">
      <c r="Q32" s="5"/>
      <c r="R32" s="1"/>
      <c r="S32" s="1"/>
    </row>
    <row r="33" spans="17:19" ht="18" x14ac:dyDescent="0.25">
      <c r="Q33" s="5"/>
      <c r="R33" s="1"/>
      <c r="S33" s="1"/>
    </row>
    <row r="34" spans="17:19" ht="18" x14ac:dyDescent="0.25">
      <c r="Q34" s="5"/>
      <c r="R34" s="1"/>
      <c r="S34" s="1"/>
    </row>
    <row r="35" spans="17:19" ht="18" x14ac:dyDescent="0.25">
      <c r="Q35" s="5"/>
      <c r="R35" s="1"/>
      <c r="S35" s="1"/>
    </row>
    <row r="36" spans="17:19" ht="18" x14ac:dyDescent="0.25">
      <c r="Q36" s="6"/>
      <c r="R36" s="1"/>
      <c r="S36" s="1"/>
    </row>
    <row r="37" spans="17:19" ht="18.75" x14ac:dyDescent="0.3">
      <c r="Q37" s="7"/>
      <c r="R37" s="2"/>
      <c r="S37" s="2"/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D17" sqref="D17"/>
    </sheetView>
  </sheetViews>
  <sheetFormatPr defaultColWidth="9.28515625" defaultRowHeight="12.75" x14ac:dyDescent="0.2"/>
  <cols>
    <col min="1" max="1" width="29.28515625" customWidth="1"/>
    <col min="2" max="2" width="10.7109375" customWidth="1"/>
    <col min="3" max="3" width="11.5703125" bestFit="1" customWidth="1"/>
    <col min="4" max="7" width="11.5703125" style="103" customWidth="1"/>
    <col min="8" max="8" width="10.28515625" style="103" bestFit="1" customWidth="1"/>
    <col min="9" max="16" width="10.28515625" style="12" bestFit="1" customWidth="1"/>
    <col min="17" max="18" width="10.28515625" bestFit="1" customWidth="1"/>
  </cols>
  <sheetData>
    <row r="1" spans="1:18" s="16" customFormat="1" ht="13.5" thickBot="1" x14ac:dyDescent="0.25">
      <c r="A1" s="31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8" x14ac:dyDescent="0.2">
      <c r="A2" s="27" t="s">
        <v>11</v>
      </c>
      <c r="B2" s="35">
        <f t="shared" ref="B2:B12" si="0">(E2-F2)/F2</f>
        <v>-0.18646864686468648</v>
      </c>
      <c r="C2" s="150">
        <f>E2-'[1]Czech Republic'!E2</f>
        <v>-373</v>
      </c>
      <c r="D2" s="107">
        <f>F2-'[1]Czech Republic'!F2</f>
        <v>-905</v>
      </c>
      <c r="E2" s="133">
        <v>986</v>
      </c>
      <c r="F2" s="107">
        <v>1212</v>
      </c>
      <c r="G2" s="107">
        <v>25</v>
      </c>
      <c r="H2" s="107">
        <v>297</v>
      </c>
      <c r="I2" s="13"/>
      <c r="J2" s="13"/>
      <c r="K2" s="13"/>
      <c r="L2" s="13"/>
      <c r="M2" s="13"/>
      <c r="N2" s="13"/>
      <c r="O2" s="13"/>
      <c r="P2" s="13"/>
      <c r="Q2" s="13"/>
      <c r="R2" s="37"/>
    </row>
    <row r="3" spans="1:18" x14ac:dyDescent="0.2">
      <c r="A3" s="27" t="s">
        <v>9</v>
      </c>
      <c r="B3" s="35">
        <f t="shared" si="0"/>
        <v>-0.43015873015873018</v>
      </c>
      <c r="C3" s="150">
        <f>E3-'[1]Czech Republic'!E3</f>
        <v>-351</v>
      </c>
      <c r="D3" s="107">
        <f>F3-'[1]Czech Republic'!F3</f>
        <v>-501</v>
      </c>
      <c r="E3" s="133">
        <v>359</v>
      </c>
      <c r="F3" s="107">
        <v>630</v>
      </c>
      <c r="G3" s="107">
        <v>567</v>
      </c>
      <c r="H3" s="107">
        <v>246</v>
      </c>
      <c r="I3" s="13">
        <v>1028</v>
      </c>
      <c r="J3" s="13">
        <v>212</v>
      </c>
      <c r="K3" s="13">
        <v>273</v>
      </c>
      <c r="L3" s="13">
        <v>0</v>
      </c>
      <c r="M3" s="13">
        <v>10</v>
      </c>
      <c r="N3" s="13">
        <v>0</v>
      </c>
      <c r="O3" s="13">
        <v>0</v>
      </c>
      <c r="P3" s="13">
        <v>14</v>
      </c>
      <c r="Q3" s="13">
        <v>0</v>
      </c>
      <c r="R3" s="37">
        <v>10</v>
      </c>
    </row>
    <row r="4" spans="1:18" x14ac:dyDescent="0.2">
      <c r="A4" s="27" t="s">
        <v>14</v>
      </c>
      <c r="B4" s="35">
        <f t="shared" si="0"/>
        <v>-1</v>
      </c>
      <c r="C4" s="150">
        <f>E4-'[1]Czech Republic'!E4</f>
        <v>-106</v>
      </c>
      <c r="D4" s="107">
        <f>F4-'[1]Czech Republic'!F4</f>
        <v>-238</v>
      </c>
      <c r="E4" s="133">
        <v>0</v>
      </c>
      <c r="F4" s="107">
        <v>529</v>
      </c>
      <c r="G4" s="107">
        <v>218</v>
      </c>
      <c r="H4" s="107">
        <v>52</v>
      </c>
      <c r="I4" s="13">
        <v>191</v>
      </c>
      <c r="J4" s="13">
        <v>50</v>
      </c>
      <c r="K4" s="13">
        <v>6</v>
      </c>
      <c r="L4" s="13">
        <v>89</v>
      </c>
      <c r="M4" s="13">
        <v>22</v>
      </c>
      <c r="N4" s="13">
        <v>10</v>
      </c>
      <c r="O4" s="13">
        <v>16</v>
      </c>
      <c r="P4" s="13">
        <v>309</v>
      </c>
      <c r="Q4" s="13">
        <v>70</v>
      </c>
      <c r="R4" s="37">
        <v>145</v>
      </c>
    </row>
    <row r="5" spans="1:18" x14ac:dyDescent="0.2">
      <c r="A5" s="27" t="s">
        <v>3</v>
      </c>
      <c r="B5" s="35">
        <f t="shared" si="0"/>
        <v>-0.27371794871794874</v>
      </c>
      <c r="C5" s="150">
        <f>E5-'[1]Czech Republic'!E5</f>
        <v>-2094</v>
      </c>
      <c r="D5" s="107">
        <f>F5-'[1]Czech Republic'!F5</f>
        <v>-2275</v>
      </c>
      <c r="E5" s="133">
        <v>4532</v>
      </c>
      <c r="F5" s="107">
        <v>6240</v>
      </c>
      <c r="G5" s="107">
        <v>4189</v>
      </c>
      <c r="H5" s="107">
        <v>3278</v>
      </c>
      <c r="I5" s="13">
        <v>5182</v>
      </c>
      <c r="J5" s="13">
        <v>3650</v>
      </c>
      <c r="K5" s="13">
        <v>3476</v>
      </c>
      <c r="L5" s="13">
        <v>1747</v>
      </c>
      <c r="M5" s="13">
        <v>1654</v>
      </c>
      <c r="N5" s="13">
        <v>1133</v>
      </c>
      <c r="O5" s="13">
        <v>2459</v>
      </c>
      <c r="P5" s="13">
        <v>2480</v>
      </c>
      <c r="Q5" s="13">
        <v>1487</v>
      </c>
      <c r="R5" s="37">
        <v>1053</v>
      </c>
    </row>
    <row r="6" spans="1:18" x14ac:dyDescent="0.2">
      <c r="A6" s="27" t="s">
        <v>10</v>
      </c>
      <c r="B6" s="35">
        <f t="shared" si="0"/>
        <v>-0.85032646911099952</v>
      </c>
      <c r="C6" s="150">
        <f>E6-'[1]Czech Republic'!E6</f>
        <v>-703</v>
      </c>
      <c r="D6" s="107">
        <f>F6-'[1]Czech Republic'!F6</f>
        <v>-2264</v>
      </c>
      <c r="E6" s="133">
        <v>596</v>
      </c>
      <c r="F6" s="107">
        <v>3982</v>
      </c>
      <c r="G6" s="107">
        <v>1135</v>
      </c>
      <c r="H6" s="107">
        <v>1227</v>
      </c>
      <c r="I6" s="13">
        <v>4284</v>
      </c>
      <c r="J6" s="13">
        <v>1761</v>
      </c>
      <c r="K6" s="13">
        <v>2862</v>
      </c>
      <c r="L6" s="13">
        <v>3433</v>
      </c>
      <c r="M6" s="13">
        <v>630</v>
      </c>
      <c r="N6" s="13">
        <v>1833</v>
      </c>
      <c r="O6" s="13">
        <v>6506</v>
      </c>
      <c r="P6" s="13">
        <v>5018</v>
      </c>
      <c r="Q6" s="13">
        <v>1485</v>
      </c>
      <c r="R6" s="37">
        <v>5247</v>
      </c>
    </row>
    <row r="7" spans="1:18" x14ac:dyDescent="0.2">
      <c r="A7" s="27" t="s">
        <v>27</v>
      </c>
      <c r="B7" s="35">
        <f t="shared" si="0"/>
        <v>-0.8523384130320546</v>
      </c>
      <c r="C7" s="150">
        <f>E7-'[1]Czech Republic'!E7</f>
        <v>-628</v>
      </c>
      <c r="D7" s="107">
        <f>F7-'[1]Czech Republic'!F7</f>
        <v>-1885</v>
      </c>
      <c r="E7" s="133">
        <v>281</v>
      </c>
      <c r="F7" s="107">
        <v>1903</v>
      </c>
      <c r="G7" s="107">
        <v>337</v>
      </c>
      <c r="H7" s="107">
        <v>1368</v>
      </c>
      <c r="I7" s="13">
        <v>1338</v>
      </c>
      <c r="J7" s="13">
        <v>340</v>
      </c>
      <c r="K7" s="13">
        <v>1295</v>
      </c>
      <c r="L7" s="13">
        <v>272</v>
      </c>
      <c r="M7" s="13">
        <v>192</v>
      </c>
      <c r="N7" s="13">
        <v>300</v>
      </c>
      <c r="O7" s="13">
        <v>361</v>
      </c>
      <c r="P7" s="13">
        <v>635</v>
      </c>
      <c r="Q7" s="13">
        <v>95</v>
      </c>
      <c r="R7" s="37">
        <v>430</v>
      </c>
    </row>
    <row r="8" spans="1:18" x14ac:dyDescent="0.2">
      <c r="A8" s="27" t="s">
        <v>19</v>
      </c>
      <c r="B8" s="35">
        <f t="shared" si="0"/>
        <v>-0.41698352344740175</v>
      </c>
      <c r="C8" s="150">
        <f>E8-'[1]Czech Republic'!E8</f>
        <v>-226</v>
      </c>
      <c r="D8" s="107">
        <f>F8-'[1]Czech Republic'!F8</f>
        <v>-460</v>
      </c>
      <c r="E8" s="133">
        <v>460</v>
      </c>
      <c r="F8" s="107">
        <v>789</v>
      </c>
      <c r="G8" s="107">
        <v>428</v>
      </c>
      <c r="H8" s="107">
        <v>0</v>
      </c>
      <c r="I8" s="13">
        <v>214</v>
      </c>
      <c r="J8" s="13">
        <v>0</v>
      </c>
      <c r="K8" s="13">
        <v>15</v>
      </c>
      <c r="L8" s="13">
        <v>54</v>
      </c>
      <c r="M8" s="13">
        <v>20</v>
      </c>
      <c r="N8" s="13">
        <v>36</v>
      </c>
      <c r="O8" s="13">
        <v>23</v>
      </c>
      <c r="P8" s="13">
        <v>0</v>
      </c>
      <c r="Q8" s="13">
        <v>0</v>
      </c>
      <c r="R8" s="37">
        <v>0</v>
      </c>
    </row>
    <row r="9" spans="1:18" x14ac:dyDescent="0.2">
      <c r="A9" s="53" t="s">
        <v>90</v>
      </c>
      <c r="B9" s="35">
        <f t="shared" si="0"/>
        <v>-1</v>
      </c>
      <c r="C9" s="150">
        <f>E9-'[1]Czech Republic'!E9</f>
        <v>-135</v>
      </c>
      <c r="D9" s="107">
        <f>F9-'[1]Czech Republic'!F9</f>
        <v>-297</v>
      </c>
      <c r="E9" s="133">
        <v>0</v>
      </c>
      <c r="F9" s="107">
        <v>371</v>
      </c>
      <c r="G9" s="107">
        <v>46</v>
      </c>
      <c r="H9" s="107">
        <v>93</v>
      </c>
      <c r="I9" s="13">
        <v>458</v>
      </c>
      <c r="J9" s="13">
        <v>204</v>
      </c>
      <c r="K9" s="13">
        <v>55</v>
      </c>
      <c r="L9" s="13">
        <v>28</v>
      </c>
      <c r="M9" s="13">
        <v>104</v>
      </c>
      <c r="N9" s="13">
        <v>19</v>
      </c>
      <c r="O9" s="13">
        <v>44</v>
      </c>
      <c r="P9" s="13">
        <v>30</v>
      </c>
      <c r="Q9" s="13">
        <v>36</v>
      </c>
      <c r="R9" s="37">
        <v>122</v>
      </c>
    </row>
    <row r="10" spans="1:18" x14ac:dyDescent="0.2">
      <c r="A10" s="27" t="s">
        <v>35</v>
      </c>
      <c r="B10" s="35"/>
      <c r="C10" s="150">
        <f>E10-'[1]Czech Republic'!E10</f>
        <v>0</v>
      </c>
      <c r="D10" s="107">
        <f>F10-'[1]Czech Republic'!F10</f>
        <v>-12</v>
      </c>
      <c r="E10" s="133">
        <v>0</v>
      </c>
      <c r="F10" s="107">
        <v>0</v>
      </c>
      <c r="G10" s="107">
        <v>0</v>
      </c>
      <c r="H10" s="107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37">
        <v>0</v>
      </c>
    </row>
    <row r="11" spans="1:18" ht="13.5" thickBot="1" x14ac:dyDescent="0.25">
      <c r="A11" s="30" t="s">
        <v>59</v>
      </c>
      <c r="B11" s="36">
        <f t="shared" si="0"/>
        <v>-0.65875370919881304</v>
      </c>
      <c r="C11" s="151">
        <f>E11-'[1]Czech Republic'!E11</f>
        <v>-287</v>
      </c>
      <c r="D11" s="108">
        <f>F11-'[1]Czech Republic'!F11</f>
        <v>-225</v>
      </c>
      <c r="E11" s="134">
        <v>690</v>
      </c>
      <c r="F11" s="108">
        <v>2022</v>
      </c>
      <c r="G11" s="108">
        <v>532</v>
      </c>
      <c r="H11" s="136">
        <v>431</v>
      </c>
      <c r="I11" s="101">
        <v>968</v>
      </c>
      <c r="J11" s="101">
        <v>251</v>
      </c>
      <c r="K11" s="101">
        <v>365</v>
      </c>
      <c r="L11" s="101">
        <v>206</v>
      </c>
      <c r="M11" s="101">
        <v>147</v>
      </c>
      <c r="N11" s="101">
        <v>108</v>
      </c>
      <c r="O11" s="101">
        <v>78</v>
      </c>
      <c r="P11" s="101">
        <v>112</v>
      </c>
      <c r="Q11" s="15">
        <v>105</v>
      </c>
      <c r="R11" s="39">
        <v>673</v>
      </c>
    </row>
    <row r="12" spans="1:18" ht="13.5" thickBot="1" x14ac:dyDescent="0.25">
      <c r="A12" s="45" t="s">
        <v>23</v>
      </c>
      <c r="B12" s="41">
        <f t="shared" si="0"/>
        <v>-0.55289059848399136</v>
      </c>
      <c r="C12" s="156">
        <f>E12-'[1]Czech Republic'!E12</f>
        <v>-4903</v>
      </c>
      <c r="D12" s="109">
        <f>F12-'[1]Czech Republic'!F12</f>
        <v>-9062</v>
      </c>
      <c r="E12" s="135">
        <f>SUM(E2:E11)</f>
        <v>7904</v>
      </c>
      <c r="F12" s="109">
        <f>SUM(F2:F11)</f>
        <v>17678</v>
      </c>
      <c r="G12" s="109">
        <f>SUM(G2:G11)</f>
        <v>7477</v>
      </c>
      <c r="H12" s="109">
        <f>SUM(H2:H11)</f>
        <v>6992</v>
      </c>
      <c r="I12" s="42">
        <f>SUM(I3:I11)</f>
        <v>13663</v>
      </c>
      <c r="J12" s="42">
        <f>SUM(J3:J11)</f>
        <v>6468</v>
      </c>
      <c r="K12" s="42">
        <f>SUM(K3:K11)</f>
        <v>8347</v>
      </c>
      <c r="L12" s="42">
        <f>SUM(L3:L11)</f>
        <v>5829</v>
      </c>
      <c r="M12" s="42">
        <f t="shared" ref="M12:R12" si="1">SUM(M3:M11)</f>
        <v>2779</v>
      </c>
      <c r="N12" s="42">
        <f t="shared" si="1"/>
        <v>3439</v>
      </c>
      <c r="O12" s="42">
        <f t="shared" si="1"/>
        <v>9487</v>
      </c>
      <c r="P12" s="42">
        <f t="shared" si="1"/>
        <v>8598</v>
      </c>
      <c r="Q12" s="42">
        <f t="shared" si="1"/>
        <v>3278</v>
      </c>
      <c r="R12" s="43">
        <f t="shared" si="1"/>
        <v>7680</v>
      </c>
    </row>
    <row r="13" spans="1:18" s="9" customFormat="1" x14ac:dyDescent="0.2">
      <c r="B13" s="44"/>
      <c r="C13" s="44"/>
      <c r="D13" s="102"/>
      <c r="E13" s="102"/>
      <c r="F13" s="102"/>
      <c r="G13" s="102"/>
      <c r="H13" s="102"/>
      <c r="I13" s="12"/>
      <c r="J13" s="12"/>
      <c r="K13" s="12"/>
      <c r="L13" s="12"/>
      <c r="M13" s="12"/>
      <c r="N13" s="12"/>
      <c r="O13" s="12"/>
      <c r="P13" s="12"/>
    </row>
    <row r="14" spans="1:18" ht="13.5" thickBot="1" x14ac:dyDescent="0.25"/>
    <row r="15" spans="1:18" ht="13.5" thickBot="1" x14ac:dyDescent="0.25">
      <c r="A15" s="64" t="s">
        <v>25</v>
      </c>
      <c r="B15" s="32" t="s">
        <v>176</v>
      </c>
      <c r="C15" s="62" t="s">
        <v>177</v>
      </c>
      <c r="D15" s="99" t="s">
        <v>174</v>
      </c>
      <c r="E15" s="129">
        <v>43952</v>
      </c>
      <c r="F15" s="137">
        <v>43586</v>
      </c>
      <c r="G15" s="137">
        <v>43221</v>
      </c>
      <c r="H15" s="33">
        <v>42856</v>
      </c>
      <c r="I15" s="33">
        <v>42491</v>
      </c>
      <c r="J15" s="33">
        <v>42125</v>
      </c>
      <c r="K15" s="33">
        <v>41760</v>
      </c>
      <c r="L15" s="33">
        <v>41395</v>
      </c>
      <c r="M15" s="33">
        <v>41030</v>
      </c>
      <c r="N15" s="33">
        <v>40664</v>
      </c>
      <c r="O15" s="33">
        <v>40299</v>
      </c>
      <c r="P15" s="33">
        <v>39934</v>
      </c>
      <c r="Q15" s="33">
        <v>39569</v>
      </c>
      <c r="R15" s="34">
        <v>39203</v>
      </c>
    </row>
    <row r="16" spans="1:18" x14ac:dyDescent="0.2">
      <c r="A16" s="66" t="s">
        <v>7</v>
      </c>
      <c r="B16" s="67">
        <f t="shared" ref="B16:B21" si="2">(E16-F16)/F16</f>
        <v>-0.72972972972972971</v>
      </c>
      <c r="C16" s="150">
        <f>E16-'[1]Czech Republic'!E16</f>
        <v>-515</v>
      </c>
      <c r="D16" s="91">
        <f>F16-'[1]Czech Republic'!F16</f>
        <v>-345</v>
      </c>
      <c r="E16" s="68">
        <v>200</v>
      </c>
      <c r="F16" s="91">
        <v>740</v>
      </c>
      <c r="G16" s="91">
        <v>600</v>
      </c>
      <c r="H16" s="91">
        <v>370</v>
      </c>
      <c r="I16" s="91">
        <v>950</v>
      </c>
      <c r="J16" s="91">
        <v>0</v>
      </c>
      <c r="K16" s="91">
        <v>564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3">
        <v>0</v>
      </c>
    </row>
    <row r="17" spans="1:19" x14ac:dyDescent="0.2">
      <c r="A17" s="66" t="s">
        <v>42</v>
      </c>
      <c r="B17" s="67"/>
      <c r="C17" s="150">
        <f>E17-'[1]Czech Republic'!E17</f>
        <v>0</v>
      </c>
      <c r="D17" s="91">
        <f>F17-'[1]Czech Republic'!F17</f>
        <v>0</v>
      </c>
      <c r="E17" s="68">
        <v>0</v>
      </c>
      <c r="F17" s="91">
        <v>0</v>
      </c>
      <c r="G17" s="91">
        <v>0</v>
      </c>
      <c r="H17" s="91">
        <v>0</v>
      </c>
      <c r="I17" s="91">
        <v>5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3">
        <v>0</v>
      </c>
    </row>
    <row r="18" spans="1:19" x14ac:dyDescent="0.2">
      <c r="A18" s="66" t="s">
        <v>160</v>
      </c>
      <c r="B18" s="67">
        <f t="shared" si="2"/>
        <v>-1</v>
      </c>
      <c r="C18" s="150">
        <f>E18-'[1]Czech Republic'!E18</f>
        <v>-2</v>
      </c>
      <c r="D18" s="91">
        <f>F18-'[1]Czech Republic'!F18</f>
        <v>-11</v>
      </c>
      <c r="E18" s="68">
        <v>0</v>
      </c>
      <c r="F18" s="91">
        <v>8</v>
      </c>
      <c r="G18" s="91">
        <v>0</v>
      </c>
      <c r="H18" s="91">
        <v>0</v>
      </c>
      <c r="I18" s="91">
        <v>32</v>
      </c>
      <c r="J18" s="91">
        <v>0</v>
      </c>
      <c r="K18" s="91">
        <v>2</v>
      </c>
      <c r="L18" s="91"/>
      <c r="M18" s="91"/>
      <c r="N18" s="91"/>
      <c r="O18" s="91"/>
      <c r="P18" s="91"/>
      <c r="Q18" s="91"/>
      <c r="R18" s="93"/>
    </row>
    <row r="19" spans="1:19" x14ac:dyDescent="0.2">
      <c r="A19" s="66" t="s">
        <v>161</v>
      </c>
      <c r="B19" s="67"/>
      <c r="C19" s="150">
        <f>E19-'[1]Czech Republic'!E19</f>
        <v>0</v>
      </c>
      <c r="D19" s="91">
        <f>F19-'[1]Czech Republic'!F19</f>
        <v>-20</v>
      </c>
      <c r="E19" s="68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/>
      <c r="M19" s="91"/>
      <c r="N19" s="91"/>
      <c r="O19" s="91"/>
      <c r="P19" s="91"/>
      <c r="Q19" s="91"/>
      <c r="R19" s="93"/>
    </row>
    <row r="20" spans="1:19" ht="13.5" thickBot="1" x14ac:dyDescent="0.25">
      <c r="A20" s="70" t="s">
        <v>6</v>
      </c>
      <c r="B20" s="67">
        <f t="shared" si="2"/>
        <v>-1</v>
      </c>
      <c r="C20" s="151">
        <f>E20-'[1]Czech Republic'!E20</f>
        <v>-5</v>
      </c>
      <c r="D20" s="91">
        <f>F20-'[1]Czech Republic'!F20</f>
        <v>-1</v>
      </c>
      <c r="E20" s="68">
        <v>0</v>
      </c>
      <c r="F20" s="91">
        <v>8</v>
      </c>
      <c r="G20" s="91">
        <v>0</v>
      </c>
      <c r="H20" s="92">
        <v>0</v>
      </c>
      <c r="I20" s="92">
        <v>14</v>
      </c>
      <c r="J20" s="92">
        <v>0</v>
      </c>
      <c r="K20" s="92">
        <v>1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4">
        <v>0</v>
      </c>
      <c r="S20" s="1"/>
    </row>
    <row r="21" spans="1:19" ht="13.5" thickBot="1" x14ac:dyDescent="0.25">
      <c r="A21" s="74" t="s">
        <v>93</v>
      </c>
      <c r="B21" s="75">
        <f t="shared" si="2"/>
        <v>-0.73544973544973546</v>
      </c>
      <c r="C21" s="156">
        <f>E21-'[1]Czech Republic'!E21</f>
        <v>-522</v>
      </c>
      <c r="D21" s="104">
        <f>F21-'[1]Czech Republic'!F21</f>
        <v>-377</v>
      </c>
      <c r="E21" s="76">
        <f>SUM(E16:E20)</f>
        <v>200</v>
      </c>
      <c r="F21" s="104">
        <f>SUM(F16:F20)</f>
        <v>756</v>
      </c>
      <c r="G21" s="104">
        <v>600</v>
      </c>
      <c r="H21" s="104">
        <f>SUM(H16:H20)</f>
        <v>370</v>
      </c>
      <c r="I21" s="104">
        <f>SUM(I16:I20)</f>
        <v>1001</v>
      </c>
      <c r="J21" s="104">
        <f>SUM(J16:J20)</f>
        <v>0</v>
      </c>
      <c r="K21" s="104">
        <f>SUM(K16:K20)</f>
        <v>567</v>
      </c>
      <c r="L21" s="104">
        <f>SUM(L16:L20)</f>
        <v>0</v>
      </c>
      <c r="M21" s="104">
        <f t="shared" ref="M21:R21" si="3">SUM(M16:M20)</f>
        <v>0</v>
      </c>
      <c r="N21" s="104">
        <f t="shared" si="3"/>
        <v>0</v>
      </c>
      <c r="O21" s="104">
        <f t="shared" si="3"/>
        <v>0</v>
      </c>
      <c r="P21" s="104">
        <f t="shared" si="3"/>
        <v>0</v>
      </c>
      <c r="Q21" s="105">
        <f t="shared" si="3"/>
        <v>0</v>
      </c>
      <c r="R21" s="106">
        <f t="shared" si="3"/>
        <v>0</v>
      </c>
      <c r="S21" s="1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89" zoomScaleNormal="89" workbookViewId="0">
      <selection activeCell="G27" sqref="G27"/>
    </sheetView>
  </sheetViews>
  <sheetFormatPr defaultColWidth="9.28515625" defaultRowHeight="12.75" x14ac:dyDescent="0.2"/>
  <cols>
    <col min="1" max="1" width="24.7109375" customWidth="1"/>
    <col min="2" max="2" width="10.7109375" customWidth="1"/>
    <col min="3" max="3" width="11.5703125" bestFit="1" customWidth="1"/>
    <col min="4" max="6" width="11.7109375" style="9" customWidth="1"/>
    <col min="7" max="7" width="11.42578125" style="9" customWidth="1"/>
    <col min="8" max="16" width="10.28515625" style="9" bestFit="1" customWidth="1"/>
    <col min="17" max="18" width="10.28515625" bestFit="1" customWidth="1"/>
  </cols>
  <sheetData>
    <row r="1" spans="1:19" ht="13.5" thickBot="1" x14ac:dyDescent="0.25">
      <c r="A1" s="52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33">
        <v>40299</v>
      </c>
      <c r="P1" s="33">
        <v>39934</v>
      </c>
      <c r="Q1" s="33">
        <v>39569</v>
      </c>
      <c r="R1" s="34">
        <v>39203</v>
      </c>
    </row>
    <row r="2" spans="1:19" x14ac:dyDescent="0.2">
      <c r="A2" s="53" t="s">
        <v>4</v>
      </c>
      <c r="B2" s="60"/>
      <c r="C2" s="147">
        <f>E2-[1]Denmark!E2</f>
        <v>0</v>
      </c>
      <c r="D2" s="86">
        <f>F2-[1]Denmark!F2</f>
        <v>0</v>
      </c>
      <c r="E2" s="56">
        <v>0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51"/>
      <c r="R2" s="78"/>
    </row>
    <row r="3" spans="1:19" x14ac:dyDescent="0.2">
      <c r="A3" s="53" t="s">
        <v>98</v>
      </c>
      <c r="B3" s="60"/>
      <c r="C3" s="147">
        <f>E3-[1]Denmark!E3</f>
        <v>-148</v>
      </c>
      <c r="D3" s="86">
        <f>F3-[1]Denmark!F3</f>
        <v>0</v>
      </c>
      <c r="E3" s="56">
        <v>0</v>
      </c>
      <c r="F3" s="86"/>
      <c r="G3" s="86">
        <v>0</v>
      </c>
      <c r="H3" s="86">
        <v>7</v>
      </c>
      <c r="I3" s="86">
        <v>68</v>
      </c>
      <c r="J3" s="86"/>
      <c r="K3" s="86">
        <v>0</v>
      </c>
      <c r="L3" s="86"/>
      <c r="M3" s="86"/>
      <c r="N3" s="86"/>
      <c r="O3" s="86">
        <v>10</v>
      </c>
      <c r="P3" s="86"/>
      <c r="Q3" s="51"/>
      <c r="R3" s="78"/>
    </row>
    <row r="4" spans="1:19" x14ac:dyDescent="0.2">
      <c r="A4" s="53" t="s">
        <v>5</v>
      </c>
      <c r="B4" s="60"/>
      <c r="C4" s="147">
        <f>E4-[1]Denmark!E4</f>
        <v>0</v>
      </c>
      <c r="D4" s="86">
        <f>F4-[1]Denmark!F4</f>
        <v>0</v>
      </c>
      <c r="E4" s="56">
        <v>0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51"/>
      <c r="R4" s="78"/>
    </row>
    <row r="5" spans="1:19" x14ac:dyDescent="0.2">
      <c r="A5" s="53" t="s">
        <v>2</v>
      </c>
      <c r="B5" s="60">
        <f t="shared" ref="B5:B19" si="0">(E5-F5)/F5</f>
        <v>-1</v>
      </c>
      <c r="C5" s="147">
        <f>E5-[1]Denmark!E5</f>
        <v>-50</v>
      </c>
      <c r="D5" s="86">
        <f>F5-[1]Denmark!F5</f>
        <v>-807</v>
      </c>
      <c r="E5" s="56">
        <v>0</v>
      </c>
      <c r="F5" s="86">
        <v>100</v>
      </c>
      <c r="G5" s="86">
        <v>0</v>
      </c>
      <c r="H5" s="86">
        <v>60</v>
      </c>
      <c r="I5" s="86">
        <v>59</v>
      </c>
      <c r="J5" s="86">
        <v>0</v>
      </c>
      <c r="K5" s="86">
        <v>0</v>
      </c>
      <c r="L5" s="86"/>
      <c r="M5" s="86">
        <v>80</v>
      </c>
      <c r="N5" s="86"/>
      <c r="O5" s="86">
        <v>25</v>
      </c>
      <c r="P5" s="86">
        <v>33</v>
      </c>
      <c r="Q5" s="51"/>
      <c r="R5" s="78"/>
    </row>
    <row r="6" spans="1:19" x14ac:dyDescent="0.2">
      <c r="A6" s="53" t="s">
        <v>12</v>
      </c>
      <c r="B6" s="60"/>
      <c r="C6" s="147">
        <f>E6-[1]Denmark!E6</f>
        <v>0</v>
      </c>
      <c r="D6" s="86">
        <f>F6-[1]Denmark!F6</f>
        <v>-8</v>
      </c>
      <c r="E6" s="56">
        <v>0</v>
      </c>
      <c r="F6" s="86"/>
      <c r="G6" s="86">
        <v>0</v>
      </c>
      <c r="H6" s="86">
        <v>0</v>
      </c>
      <c r="I6" s="86"/>
      <c r="J6" s="86"/>
      <c r="K6" s="86">
        <v>0</v>
      </c>
      <c r="L6" s="86"/>
      <c r="M6" s="86"/>
      <c r="N6" s="86"/>
      <c r="O6" s="86"/>
      <c r="P6" s="86"/>
      <c r="Q6" s="51"/>
      <c r="R6" s="78"/>
    </row>
    <row r="7" spans="1:19" x14ac:dyDescent="0.2">
      <c r="A7" s="53" t="s">
        <v>9</v>
      </c>
      <c r="B7" s="60">
        <f t="shared" si="0"/>
        <v>-1</v>
      </c>
      <c r="C7" s="147">
        <f>E7-[1]Denmark!E7</f>
        <v>0</v>
      </c>
      <c r="D7" s="86">
        <f>F7-[1]Denmark!F7</f>
        <v>-65</v>
      </c>
      <c r="E7" s="56">
        <v>0</v>
      </c>
      <c r="F7" s="86">
        <v>70</v>
      </c>
      <c r="G7" s="86">
        <v>0</v>
      </c>
      <c r="H7" s="86">
        <v>50</v>
      </c>
      <c r="I7" s="86">
        <v>0</v>
      </c>
      <c r="J7" s="86"/>
      <c r="K7" s="86"/>
      <c r="L7" s="86"/>
      <c r="M7" s="86"/>
      <c r="N7" s="86"/>
      <c r="O7" s="86"/>
      <c r="P7" s="86"/>
      <c r="Q7" s="51"/>
      <c r="R7" s="78"/>
    </row>
    <row r="8" spans="1:19" x14ac:dyDescent="0.2">
      <c r="A8" s="53" t="s">
        <v>14</v>
      </c>
      <c r="B8" s="60"/>
      <c r="C8" s="147">
        <f>E8-[1]Denmark!E8</f>
        <v>0</v>
      </c>
      <c r="D8" s="86">
        <f>F8-[1]Denmark!F8</f>
        <v>0</v>
      </c>
      <c r="E8" s="56">
        <v>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>
        <v>12</v>
      </c>
      <c r="Q8" s="51"/>
      <c r="R8" s="78"/>
    </row>
    <row r="9" spans="1:19" x14ac:dyDescent="0.2">
      <c r="A9" s="53" t="s">
        <v>15</v>
      </c>
      <c r="B9" s="60"/>
      <c r="C9" s="147">
        <f>E9-[1]Denmark!E9</f>
        <v>0</v>
      </c>
      <c r="D9" s="86">
        <f>F9-[1]Denmark!F9</f>
        <v>0</v>
      </c>
      <c r="E9" s="56">
        <v>0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51"/>
      <c r="R9" s="78"/>
    </row>
    <row r="10" spans="1:19" x14ac:dyDescent="0.2">
      <c r="A10" s="53" t="s">
        <v>10</v>
      </c>
      <c r="B10" s="60"/>
      <c r="C10" s="147">
        <f>E10-[1]Denmark!E10</f>
        <v>0</v>
      </c>
      <c r="D10" s="86">
        <f>F10-[1]Denmark!F10</f>
        <v>-35</v>
      </c>
      <c r="E10" s="56">
        <v>0</v>
      </c>
      <c r="F10" s="86"/>
      <c r="G10" s="86"/>
      <c r="H10" s="86"/>
      <c r="I10" s="86"/>
      <c r="J10" s="86"/>
      <c r="K10" s="86"/>
      <c r="L10" s="86"/>
      <c r="M10" s="86"/>
      <c r="N10" s="86"/>
      <c r="O10" s="86">
        <v>5</v>
      </c>
      <c r="P10" s="86"/>
      <c r="Q10" s="51"/>
      <c r="R10" s="78"/>
      <c r="S10" s="1"/>
    </row>
    <row r="11" spans="1:19" x14ac:dyDescent="0.2">
      <c r="A11" s="53" t="s">
        <v>100</v>
      </c>
      <c r="B11" s="60"/>
      <c r="C11" s="147">
        <f>E11-[1]Denmark!E11</f>
        <v>0</v>
      </c>
      <c r="D11" s="86">
        <f>F11-[1]Denmark!F11</f>
        <v>-14</v>
      </c>
      <c r="E11" s="56">
        <v>0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51"/>
      <c r="R11" s="78"/>
      <c r="S11" s="1"/>
    </row>
    <row r="12" spans="1:19" x14ac:dyDescent="0.2">
      <c r="A12" s="53" t="s">
        <v>27</v>
      </c>
      <c r="B12" s="60">
        <f t="shared" si="0"/>
        <v>-1</v>
      </c>
      <c r="C12" s="147">
        <f>E12-[1]Denmark!E12</f>
        <v>0</v>
      </c>
      <c r="D12" s="86">
        <f>F12-[1]Denmark!F12</f>
        <v>51</v>
      </c>
      <c r="E12" s="56">
        <v>0</v>
      </c>
      <c r="F12" s="86">
        <v>51</v>
      </c>
      <c r="G12" s="86">
        <v>0</v>
      </c>
      <c r="H12" s="86">
        <v>5</v>
      </c>
      <c r="I12" s="86">
        <v>11</v>
      </c>
      <c r="J12" s="86">
        <v>25</v>
      </c>
      <c r="K12" s="86"/>
      <c r="L12" s="86"/>
      <c r="M12" s="86"/>
      <c r="N12" s="86"/>
      <c r="O12" s="86"/>
      <c r="P12" s="86"/>
      <c r="Q12" s="51"/>
      <c r="R12" s="78"/>
      <c r="S12" s="1"/>
    </row>
    <row r="13" spans="1:19" x14ac:dyDescent="0.2">
      <c r="A13" s="53" t="s">
        <v>26</v>
      </c>
      <c r="B13" s="60">
        <f t="shared" si="0"/>
        <v>-1</v>
      </c>
      <c r="C13" s="147">
        <f>E13-[1]Denmark!E13</f>
        <v>0</v>
      </c>
      <c r="D13" s="86">
        <f>F13-[1]Denmark!F13</f>
        <v>1557</v>
      </c>
      <c r="E13" s="56">
        <v>0</v>
      </c>
      <c r="F13" s="86">
        <v>1608</v>
      </c>
      <c r="G13" s="86">
        <v>0</v>
      </c>
      <c r="H13" s="86">
        <v>1104</v>
      </c>
      <c r="I13" s="86">
        <v>1236</v>
      </c>
      <c r="J13" s="86">
        <v>90</v>
      </c>
      <c r="K13" s="86">
        <v>10</v>
      </c>
      <c r="L13" s="86">
        <v>25</v>
      </c>
      <c r="M13" s="86">
        <v>147</v>
      </c>
      <c r="N13" s="86"/>
      <c r="O13" s="86">
        <v>109</v>
      </c>
      <c r="P13" s="86">
        <v>291</v>
      </c>
      <c r="Q13" s="51"/>
      <c r="R13" s="78"/>
    </row>
    <row r="14" spans="1:19" x14ac:dyDescent="0.2">
      <c r="A14" s="53" t="s">
        <v>99</v>
      </c>
      <c r="B14" s="60"/>
      <c r="C14" s="147">
        <f>E14-[1]Denmark!E14</f>
        <v>-85</v>
      </c>
      <c r="D14" s="86">
        <f>F14-[1]Denmark!F14</f>
        <v>-1733</v>
      </c>
      <c r="E14" s="56">
        <v>0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51"/>
      <c r="R14" s="78"/>
    </row>
    <row r="15" spans="1:19" x14ac:dyDescent="0.2">
      <c r="A15" s="53" t="s">
        <v>13</v>
      </c>
      <c r="B15" s="60"/>
      <c r="C15" s="147">
        <f>E15-[1]Denmark!E15</f>
        <v>0</v>
      </c>
      <c r="D15" s="86">
        <f>F15-[1]Denmark!F15</f>
        <v>0</v>
      </c>
      <c r="E15" s="56">
        <v>0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51"/>
      <c r="R15" s="78"/>
    </row>
    <row r="16" spans="1:19" x14ac:dyDescent="0.2">
      <c r="A16" s="53" t="s">
        <v>100</v>
      </c>
      <c r="B16" s="60"/>
      <c r="C16" s="147">
        <f>E16-[1]Denmark!E16</f>
        <v>0</v>
      </c>
      <c r="D16" s="86">
        <f>F16-[1]Denmark!F16</f>
        <v>0</v>
      </c>
      <c r="E16" s="56">
        <v>0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51"/>
      <c r="R16" s="78"/>
    </row>
    <row r="17" spans="1:18" x14ac:dyDescent="0.2">
      <c r="A17" s="53" t="s">
        <v>88</v>
      </c>
      <c r="B17" s="60">
        <f t="shared" si="0"/>
        <v>-1</v>
      </c>
      <c r="C17" s="147">
        <f>E17-[1]Denmark!E17</f>
        <v>0</v>
      </c>
      <c r="D17" s="86">
        <f>F17-[1]Denmark!F17</f>
        <v>1276</v>
      </c>
      <c r="E17" s="56">
        <v>0</v>
      </c>
      <c r="F17" s="86">
        <v>1276</v>
      </c>
      <c r="G17" s="86">
        <v>0</v>
      </c>
      <c r="H17" s="86">
        <v>791</v>
      </c>
      <c r="I17" s="86">
        <v>720</v>
      </c>
      <c r="J17" s="86">
        <v>298</v>
      </c>
      <c r="K17" s="86">
        <v>30</v>
      </c>
      <c r="L17" s="86">
        <v>40</v>
      </c>
      <c r="M17" s="86">
        <v>285</v>
      </c>
      <c r="N17" s="86"/>
      <c r="O17" s="86">
        <v>20</v>
      </c>
      <c r="P17" s="86">
        <v>2</v>
      </c>
      <c r="Q17" s="51"/>
      <c r="R17" s="78"/>
    </row>
    <row r="18" spans="1:18" ht="13.5" thickBot="1" x14ac:dyDescent="0.25">
      <c r="A18" s="54" t="s">
        <v>6</v>
      </c>
      <c r="B18" s="61">
        <f t="shared" si="0"/>
        <v>-1</v>
      </c>
      <c r="C18" s="148">
        <f>E18-[1]Denmark!E18</f>
        <v>-227</v>
      </c>
      <c r="D18" s="86">
        <f>F18-[1]Denmark!F18</f>
        <v>-1499</v>
      </c>
      <c r="E18" s="56">
        <v>0</v>
      </c>
      <c r="F18" s="86">
        <v>11</v>
      </c>
      <c r="G18" s="86">
        <v>0</v>
      </c>
      <c r="H18" s="87">
        <v>30</v>
      </c>
      <c r="I18" s="87">
        <v>30</v>
      </c>
      <c r="J18" s="87">
        <v>0</v>
      </c>
      <c r="K18" s="87">
        <v>0</v>
      </c>
      <c r="L18" s="87"/>
      <c r="M18" s="87"/>
      <c r="N18" s="87"/>
      <c r="O18" s="87">
        <v>12</v>
      </c>
      <c r="P18" s="87">
        <v>25</v>
      </c>
      <c r="Q18" s="50"/>
      <c r="R18" s="79"/>
    </row>
    <row r="19" spans="1:18" ht="13.5" thickBot="1" x14ac:dyDescent="0.25">
      <c r="A19" s="55" t="s">
        <v>93</v>
      </c>
      <c r="B19" s="97">
        <f t="shared" si="0"/>
        <v>-1</v>
      </c>
      <c r="C19" s="155">
        <f>E19-[1]Denmark!E19</f>
        <v>-114</v>
      </c>
      <c r="D19" s="110">
        <f>F19-[1]Denmark!F19</f>
        <v>3058</v>
      </c>
      <c r="E19" s="58">
        <v>0</v>
      </c>
      <c r="F19" s="110">
        <f>SUM(F2:F18)</f>
        <v>3116</v>
      </c>
      <c r="G19" s="110">
        <v>0</v>
      </c>
      <c r="H19" s="110">
        <f t="shared" ref="H19:M19" si="1">SUM(H2:H18)</f>
        <v>2047</v>
      </c>
      <c r="I19" s="110">
        <f t="shared" si="1"/>
        <v>2124</v>
      </c>
      <c r="J19" s="110">
        <f t="shared" si="1"/>
        <v>413</v>
      </c>
      <c r="K19" s="110">
        <f t="shared" si="1"/>
        <v>40</v>
      </c>
      <c r="L19" s="110">
        <f t="shared" si="1"/>
        <v>65</v>
      </c>
      <c r="M19" s="110">
        <f t="shared" si="1"/>
        <v>512</v>
      </c>
      <c r="N19" s="110">
        <v>0</v>
      </c>
      <c r="O19" s="110">
        <f>SUM(O2:O18)</f>
        <v>181</v>
      </c>
      <c r="P19" s="110">
        <f>SUM(P2:P18)</f>
        <v>363</v>
      </c>
      <c r="Q19" s="59">
        <f>SUM(Q2:Q18)</f>
        <v>0</v>
      </c>
      <c r="R19" s="43">
        <f>SUM(R2:R18)</f>
        <v>0</v>
      </c>
    </row>
    <row r="21" spans="1:18" ht="13.5" thickBot="1" x14ac:dyDescent="0.25">
      <c r="B21" s="3"/>
      <c r="C21" s="3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3"/>
      <c r="R21" s="3"/>
    </row>
    <row r="22" spans="1:18" s="65" customFormat="1" ht="13.5" thickBot="1" x14ac:dyDescent="0.25">
      <c r="A22" s="64" t="s">
        <v>122</v>
      </c>
      <c r="B22" s="32" t="s">
        <v>176</v>
      </c>
      <c r="C22" s="62" t="s">
        <v>177</v>
      </c>
      <c r="D22" s="99" t="s">
        <v>174</v>
      </c>
      <c r="E22" s="129">
        <v>43952</v>
      </c>
      <c r="F22" s="137">
        <v>43221</v>
      </c>
      <c r="G22" s="137">
        <v>43221</v>
      </c>
      <c r="H22" s="33">
        <v>42856</v>
      </c>
      <c r="I22" s="33">
        <v>42491</v>
      </c>
      <c r="J22" s="33">
        <v>42125</v>
      </c>
      <c r="K22" s="33">
        <v>41760</v>
      </c>
      <c r="L22" s="33">
        <v>41395</v>
      </c>
      <c r="M22" s="33">
        <v>41030</v>
      </c>
      <c r="N22" s="33">
        <v>40664</v>
      </c>
      <c r="O22" s="33">
        <v>40299</v>
      </c>
      <c r="P22" s="33">
        <v>39934</v>
      </c>
      <c r="Q22" s="33">
        <v>39569</v>
      </c>
      <c r="R22" s="34">
        <v>39203</v>
      </c>
    </row>
    <row r="23" spans="1:18" s="63" customFormat="1" x14ac:dyDescent="0.2">
      <c r="A23" s="66" t="s">
        <v>7</v>
      </c>
      <c r="B23" s="67"/>
      <c r="C23" s="147">
        <f>E23-[1]Denmark!E23</f>
        <v>-43922</v>
      </c>
      <c r="D23" s="91">
        <f>F23-[1]Denmark!F23</f>
        <v>-43556</v>
      </c>
      <c r="E23" s="68">
        <v>0</v>
      </c>
      <c r="F23" s="91"/>
      <c r="G23" s="91">
        <v>0</v>
      </c>
      <c r="H23" s="91"/>
      <c r="I23" s="91"/>
      <c r="J23" s="91"/>
      <c r="K23" s="91"/>
      <c r="L23" s="91"/>
      <c r="M23" s="91"/>
      <c r="N23" s="91"/>
      <c r="O23" s="91">
        <v>0</v>
      </c>
      <c r="P23" s="91">
        <f>SUM(S23:T23)</f>
        <v>0</v>
      </c>
      <c r="Q23" s="69">
        <f>B38</f>
        <v>0</v>
      </c>
      <c r="R23" s="80">
        <f>B60</f>
        <v>0</v>
      </c>
    </row>
    <row r="24" spans="1:18" s="63" customFormat="1" x14ac:dyDescent="0.2">
      <c r="A24" s="66" t="s">
        <v>159</v>
      </c>
      <c r="B24" s="67"/>
      <c r="C24" s="147">
        <f>E24-[1]Denmark!E24</f>
        <v>0</v>
      </c>
      <c r="D24" s="91">
        <f>F24-[1]Denmark!F24</f>
        <v>-28</v>
      </c>
      <c r="E24" s="68">
        <v>0</v>
      </c>
      <c r="F24" s="91"/>
      <c r="G24" s="91">
        <v>0</v>
      </c>
      <c r="H24" s="91"/>
      <c r="I24" s="91"/>
      <c r="J24" s="91"/>
      <c r="K24" s="91"/>
      <c r="L24" s="91"/>
      <c r="M24" s="91"/>
      <c r="N24" s="91"/>
      <c r="O24" s="91"/>
      <c r="P24" s="91"/>
      <c r="Q24" s="69"/>
      <c r="R24" s="80"/>
    </row>
    <row r="25" spans="1:18" s="63" customFormat="1" ht="13.5" thickBot="1" x14ac:dyDescent="0.25">
      <c r="A25" s="70" t="s">
        <v>6</v>
      </c>
      <c r="B25" s="71"/>
      <c r="C25" s="148">
        <f>E25-[1]Denmark!E25</f>
        <v>0</v>
      </c>
      <c r="D25" s="91">
        <f>F25-[1]Denmark!F25</f>
        <v>0</v>
      </c>
      <c r="E25" s="68">
        <v>0</v>
      </c>
      <c r="F25" s="91"/>
      <c r="G25" s="91">
        <v>0</v>
      </c>
      <c r="H25" s="92"/>
      <c r="I25" s="92">
        <v>17</v>
      </c>
      <c r="J25" s="92"/>
      <c r="K25" s="92"/>
      <c r="L25" s="92"/>
      <c r="M25" s="92"/>
      <c r="N25" s="92"/>
      <c r="O25" s="92">
        <v>0</v>
      </c>
      <c r="P25" s="92">
        <f>SUM(S25:T25)</f>
        <v>0</v>
      </c>
      <c r="Q25" s="73">
        <v>0</v>
      </c>
      <c r="R25" s="81">
        <f>B69</f>
        <v>0</v>
      </c>
    </row>
    <row r="26" spans="1:18" s="63" customFormat="1" ht="13.5" thickBot="1" x14ac:dyDescent="0.25">
      <c r="A26" s="74" t="s">
        <v>93</v>
      </c>
      <c r="B26" s="75"/>
      <c r="C26" s="155">
        <f>E26-[1]Denmark!E26</f>
        <v>-19</v>
      </c>
      <c r="D26" s="104">
        <f>F26-[1]Denmark!F26</f>
        <v>-93</v>
      </c>
      <c r="E26" s="76">
        <v>0</v>
      </c>
      <c r="F26" s="104">
        <v>0</v>
      </c>
      <c r="G26" s="104">
        <v>0</v>
      </c>
      <c r="H26" s="104">
        <v>0</v>
      </c>
      <c r="I26" s="104">
        <f>SUM(I23:I25)</f>
        <v>17</v>
      </c>
      <c r="J26" s="104">
        <f>SUM(J23:J25)</f>
        <v>0</v>
      </c>
      <c r="K26" s="104">
        <f>SUM(K23:K25)</f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f>SUM(P23:P25)</f>
        <v>0</v>
      </c>
      <c r="Q26" s="77">
        <f>SUM(Q23:Q25)</f>
        <v>0</v>
      </c>
      <c r="R26" s="82">
        <f>SUM(R23:R25)</f>
        <v>0</v>
      </c>
    </row>
    <row r="27" spans="1:18" s="63" customFormat="1" x14ac:dyDescent="0.2"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18" s="63" customFormat="1" x14ac:dyDescent="0.2">
      <c r="A28" s="65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8" s="63" customFormat="1" x14ac:dyDescent="0.2"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</sheetData>
  <pageMargins left="0.75" right="0.75" top="1" bottom="1" header="0.5" footer="0.5"/>
  <pageSetup paperSize="9" scale="66" fitToHeight="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="63" zoomScaleNormal="63" workbookViewId="0">
      <selection activeCell="H42" sqref="H42"/>
    </sheetView>
  </sheetViews>
  <sheetFormatPr defaultColWidth="9.28515625" defaultRowHeight="12.75" x14ac:dyDescent="0.2"/>
  <cols>
    <col min="1" max="1" width="24.7109375" customWidth="1"/>
    <col min="2" max="2" width="10.7109375" customWidth="1"/>
    <col min="3" max="3" width="11.5703125" bestFit="1" customWidth="1"/>
    <col min="4" max="4" width="11.5703125" style="9" bestFit="1" customWidth="1"/>
    <col min="5" max="7" width="11.5703125" style="9" customWidth="1"/>
    <col min="8" max="15" width="10.28515625" style="9" bestFit="1" customWidth="1"/>
  </cols>
  <sheetData>
    <row r="1" spans="1:16" ht="13.5" thickBot="1" x14ac:dyDescent="0.25">
      <c r="A1" s="52" t="s">
        <v>24</v>
      </c>
      <c r="B1" s="32" t="s">
        <v>176</v>
      </c>
      <c r="C1" s="62" t="s">
        <v>177</v>
      </c>
      <c r="D1" s="99" t="s">
        <v>174</v>
      </c>
      <c r="E1" s="129">
        <v>43952</v>
      </c>
      <c r="F1" s="137">
        <v>43586</v>
      </c>
      <c r="G1" s="137">
        <v>43221</v>
      </c>
      <c r="H1" s="33">
        <v>42856</v>
      </c>
      <c r="I1" s="33">
        <v>42491</v>
      </c>
      <c r="J1" s="33">
        <v>42125</v>
      </c>
      <c r="K1" s="33">
        <v>41760</v>
      </c>
      <c r="L1" s="33">
        <v>41395</v>
      </c>
      <c r="M1" s="33">
        <v>41030</v>
      </c>
      <c r="N1" s="33">
        <v>40664</v>
      </c>
      <c r="O1" s="49">
        <v>40299</v>
      </c>
    </row>
    <row r="2" spans="1:16" x14ac:dyDescent="0.2">
      <c r="A2" s="53" t="s">
        <v>121</v>
      </c>
      <c r="B2" s="60">
        <f>(E2-F2)/F2</f>
        <v>0.63981762917933127</v>
      </c>
      <c r="C2" s="147">
        <f>E2-[1]France!E2</f>
        <v>-512</v>
      </c>
      <c r="D2" s="86">
        <f>F2-[1]France!F2</f>
        <v>-1073</v>
      </c>
      <c r="E2" s="56">
        <v>2158</v>
      </c>
      <c r="F2" s="86">
        <v>1316</v>
      </c>
      <c r="G2" s="86">
        <v>216</v>
      </c>
      <c r="H2" s="128">
        <v>2548</v>
      </c>
      <c r="I2" s="128">
        <v>2114</v>
      </c>
      <c r="J2" s="128">
        <v>2267</v>
      </c>
      <c r="K2" s="128">
        <v>6240</v>
      </c>
      <c r="L2" s="128">
        <v>1692</v>
      </c>
      <c r="M2" s="128">
        <v>4017</v>
      </c>
      <c r="N2" s="128">
        <v>1800</v>
      </c>
      <c r="O2" s="122">
        <v>1650</v>
      </c>
    </row>
    <row r="3" spans="1:16" x14ac:dyDescent="0.2">
      <c r="A3" s="53" t="s">
        <v>127</v>
      </c>
      <c r="B3" s="60">
        <f>(E3-F3)/F3</f>
        <v>0.577920848324181</v>
      </c>
      <c r="C3" s="147">
        <f>E3-[1]France!E3</f>
        <v>-4718</v>
      </c>
      <c r="D3" s="86">
        <f>F3-[1]France!F3</f>
        <v>-5774</v>
      </c>
      <c r="E3" s="56">
        <v>8333</v>
      </c>
      <c r="F3" s="86">
        <v>5281</v>
      </c>
      <c r="G3" s="86">
        <v>3763</v>
      </c>
      <c r="H3" s="128">
        <v>7683</v>
      </c>
      <c r="I3" s="128">
        <v>6783</v>
      </c>
      <c r="J3" s="128">
        <v>4774</v>
      </c>
      <c r="K3" s="128">
        <v>13153</v>
      </c>
      <c r="L3" s="128">
        <v>3050</v>
      </c>
      <c r="M3" s="128">
        <v>8030</v>
      </c>
      <c r="N3" s="128">
        <v>8287</v>
      </c>
      <c r="O3" s="122">
        <v>8695</v>
      </c>
    </row>
    <row r="4" spans="1:16" x14ac:dyDescent="0.2">
      <c r="A4" s="53" t="s">
        <v>4</v>
      </c>
      <c r="B4" s="60">
        <f>(E4-F4)/F4</f>
        <v>-0.97605893186003678</v>
      </c>
      <c r="C4" s="147">
        <f>E4-[1]France!E4</f>
        <v>-238</v>
      </c>
      <c r="D4" s="86">
        <f>F4-[1]France!F4</f>
        <v>48</v>
      </c>
      <c r="E4" s="56">
        <v>13</v>
      </c>
      <c r="F4" s="86">
        <v>543</v>
      </c>
      <c r="G4" s="86">
        <v>132</v>
      </c>
      <c r="H4" s="86">
        <v>105</v>
      </c>
      <c r="I4" s="86">
        <v>18</v>
      </c>
      <c r="J4" s="86">
        <v>103</v>
      </c>
      <c r="K4" s="86">
        <v>195</v>
      </c>
      <c r="L4" s="86">
        <v>0</v>
      </c>
      <c r="M4" s="86">
        <v>846</v>
      </c>
      <c r="N4" s="86">
        <v>110</v>
      </c>
      <c r="O4" s="88">
        <v>110</v>
      </c>
    </row>
    <row r="5" spans="1:16" x14ac:dyDescent="0.2">
      <c r="A5" s="53" t="s">
        <v>11</v>
      </c>
      <c r="B5" s="60">
        <f>(E5-F5)/F5</f>
        <v>4.7685104907230796E-2</v>
      </c>
      <c r="C5" s="147">
        <f>E5-[1]France!E5</f>
        <v>-7539</v>
      </c>
      <c r="D5" s="86">
        <f>F5-[1]France!F5</f>
        <v>-6759</v>
      </c>
      <c r="E5" s="56">
        <v>6042</v>
      </c>
      <c r="F5" s="86">
        <v>5767</v>
      </c>
      <c r="G5" s="86">
        <v>964</v>
      </c>
      <c r="H5" s="86">
        <v>5478</v>
      </c>
      <c r="I5" s="86">
        <v>4169</v>
      </c>
      <c r="J5" s="86">
        <v>3499</v>
      </c>
      <c r="K5" s="86">
        <v>10404</v>
      </c>
      <c r="L5" s="86">
        <v>1584</v>
      </c>
      <c r="M5" s="86">
        <v>10860</v>
      </c>
      <c r="N5" s="86">
        <v>5662</v>
      </c>
      <c r="O5" s="88">
        <v>12646</v>
      </c>
    </row>
    <row r="6" spans="1:16" x14ac:dyDescent="0.2">
      <c r="A6" s="53" t="s">
        <v>29</v>
      </c>
      <c r="B6" s="60"/>
      <c r="C6" s="147">
        <f>E6-[1]France!E6</f>
        <v>0</v>
      </c>
      <c r="D6" s="86">
        <f>F6-[1]France!F6</f>
        <v>0</v>
      </c>
      <c r="E6" s="56"/>
      <c r="F6" s="86"/>
      <c r="G6" s="86">
        <v>0</v>
      </c>
      <c r="H6" s="86">
        <v>0</v>
      </c>
      <c r="I6" s="86">
        <v>0</v>
      </c>
      <c r="J6" s="86">
        <v>0</v>
      </c>
      <c r="K6" s="86">
        <v>172</v>
      </c>
      <c r="L6" s="86">
        <v>29</v>
      </c>
      <c r="M6" s="86">
        <v>564</v>
      </c>
      <c r="N6" s="86">
        <v>648</v>
      </c>
      <c r="O6" s="88">
        <v>693</v>
      </c>
    </row>
    <row r="7" spans="1:16" x14ac:dyDescent="0.2">
      <c r="A7" s="53" t="s">
        <v>154</v>
      </c>
      <c r="B7" s="60">
        <f t="shared" ref="B7:B19" si="0">(E7-F7)/F7</f>
        <v>-0.25578983753888695</v>
      </c>
      <c r="C7" s="147">
        <f>E7-[1]France!E7</f>
        <v>-437</v>
      </c>
      <c r="D7" s="86">
        <f>F7-[1]France!F7</f>
        <v>-717</v>
      </c>
      <c r="E7" s="56">
        <v>2153</v>
      </c>
      <c r="F7" s="86">
        <v>2893</v>
      </c>
      <c r="G7" s="86">
        <v>1190</v>
      </c>
      <c r="H7" s="86">
        <v>2222</v>
      </c>
      <c r="I7" s="86">
        <v>2116</v>
      </c>
      <c r="J7" s="86">
        <v>1784</v>
      </c>
      <c r="K7" s="86">
        <v>554</v>
      </c>
      <c r="L7" s="86">
        <v>858</v>
      </c>
      <c r="M7" s="86">
        <v>1082</v>
      </c>
      <c r="N7" s="86">
        <v>1210</v>
      </c>
      <c r="O7" s="88">
        <v>0</v>
      </c>
    </row>
    <row r="8" spans="1:16" x14ac:dyDescent="0.2">
      <c r="A8" s="53" t="s">
        <v>61</v>
      </c>
      <c r="B8" s="60">
        <f t="shared" si="0"/>
        <v>0.13382850321639367</v>
      </c>
      <c r="C8" s="147">
        <f>E8-[1]France!E8</f>
        <v>-19183</v>
      </c>
      <c r="D8" s="86">
        <f>F8-[1]France!F8</f>
        <v>-20244</v>
      </c>
      <c r="E8" s="56">
        <v>17097</v>
      </c>
      <c r="F8" s="86">
        <v>15079</v>
      </c>
      <c r="G8" s="86">
        <v>13133</v>
      </c>
      <c r="H8" s="86">
        <v>19406</v>
      </c>
      <c r="I8" s="86">
        <v>16969</v>
      </c>
      <c r="J8" s="86">
        <v>13389</v>
      </c>
      <c r="K8" s="86">
        <v>14424</v>
      </c>
      <c r="L8" s="86">
        <v>4566</v>
      </c>
      <c r="M8" s="86">
        <v>7956</v>
      </c>
      <c r="N8" s="86">
        <v>7612</v>
      </c>
      <c r="O8" s="88">
        <v>10692</v>
      </c>
    </row>
    <row r="9" spans="1:16" x14ac:dyDescent="0.2">
      <c r="A9" s="53" t="s">
        <v>2</v>
      </c>
      <c r="B9" s="60">
        <f t="shared" si="0"/>
        <v>-0.19407894736842105</v>
      </c>
      <c r="C9" s="147">
        <f>E9-[1]France!E9</f>
        <v>-195</v>
      </c>
      <c r="D9" s="86">
        <f>F9-[1]France!F9</f>
        <v>-86</v>
      </c>
      <c r="E9" s="56">
        <v>245</v>
      </c>
      <c r="F9" s="86">
        <v>304</v>
      </c>
      <c r="G9" s="86">
        <v>15</v>
      </c>
      <c r="H9" s="86">
        <v>154</v>
      </c>
      <c r="I9" s="86">
        <v>105</v>
      </c>
      <c r="J9" s="86">
        <v>152</v>
      </c>
      <c r="K9" s="86">
        <v>155</v>
      </c>
      <c r="L9" s="86">
        <v>150</v>
      </c>
      <c r="M9" s="86">
        <v>237</v>
      </c>
      <c r="N9" s="86">
        <v>62</v>
      </c>
      <c r="O9" s="88">
        <v>78</v>
      </c>
    </row>
    <row r="10" spans="1:16" x14ac:dyDescent="0.2">
      <c r="A10" s="53" t="s">
        <v>12</v>
      </c>
      <c r="B10" s="60">
        <f t="shared" si="0"/>
        <v>0.67567022777665797</v>
      </c>
      <c r="C10" s="147">
        <f>E10-[1]France!E10</f>
        <v>-6988</v>
      </c>
      <c r="D10" s="86">
        <f>F10-[1]France!F10</f>
        <v>-4106</v>
      </c>
      <c r="E10" s="56">
        <v>8313</v>
      </c>
      <c r="F10" s="86">
        <v>4961</v>
      </c>
      <c r="G10" s="86">
        <v>4563</v>
      </c>
      <c r="H10" s="86">
        <v>3084</v>
      </c>
      <c r="I10" s="86">
        <v>5401</v>
      </c>
      <c r="J10" s="86">
        <v>2184</v>
      </c>
      <c r="K10" s="86">
        <v>9145</v>
      </c>
      <c r="L10" s="86">
        <v>2717</v>
      </c>
      <c r="M10" s="86">
        <v>4267</v>
      </c>
      <c r="N10" s="86">
        <v>7465</v>
      </c>
      <c r="O10" s="88">
        <v>4133</v>
      </c>
    </row>
    <row r="11" spans="1:16" x14ac:dyDescent="0.2">
      <c r="A11" s="53" t="s">
        <v>9</v>
      </c>
      <c r="B11" s="60">
        <f t="shared" si="0"/>
        <v>-1.791044776119403E-3</v>
      </c>
      <c r="C11" s="147">
        <f>E11-[1]France!E11</f>
        <v>-11066</v>
      </c>
      <c r="D11" s="86">
        <f>F11-[1]France!F11</f>
        <v>-19405</v>
      </c>
      <c r="E11" s="56">
        <v>20064</v>
      </c>
      <c r="F11" s="86">
        <v>20100</v>
      </c>
      <c r="G11" s="86">
        <v>7864</v>
      </c>
      <c r="H11" s="86">
        <v>9715</v>
      </c>
      <c r="I11" s="86">
        <v>5411</v>
      </c>
      <c r="J11" s="86">
        <v>8070</v>
      </c>
      <c r="K11" s="86">
        <v>7085</v>
      </c>
      <c r="L11" s="86">
        <v>3989</v>
      </c>
      <c r="M11" s="86">
        <v>7704</v>
      </c>
      <c r="N11" s="86">
        <v>7476</v>
      </c>
      <c r="O11" s="88">
        <v>3912</v>
      </c>
    </row>
    <row r="12" spans="1:16" x14ac:dyDescent="0.2">
      <c r="A12" s="53" t="s">
        <v>3</v>
      </c>
      <c r="B12" s="60">
        <f t="shared" si="0"/>
        <v>0.18311465414060207</v>
      </c>
      <c r="C12" s="147">
        <f>E12-[1]France!E12</f>
        <v>-23348</v>
      </c>
      <c r="D12" s="86">
        <f>F12-[1]France!F12</f>
        <v>-26527</v>
      </c>
      <c r="E12" s="56">
        <v>104779</v>
      </c>
      <c r="F12" s="86">
        <v>88562</v>
      </c>
      <c r="G12" s="86">
        <v>83434</v>
      </c>
      <c r="H12" s="86">
        <v>108567</v>
      </c>
      <c r="I12" s="86">
        <v>101961</v>
      </c>
      <c r="J12" s="86">
        <v>97868</v>
      </c>
      <c r="K12" s="86">
        <v>115686</v>
      </c>
      <c r="L12" s="86">
        <v>40242</v>
      </c>
      <c r="M12" s="86">
        <v>94089</v>
      </c>
      <c r="N12" s="86">
        <v>97979</v>
      </c>
      <c r="O12" s="88">
        <v>108187</v>
      </c>
    </row>
    <row r="13" spans="1:16" x14ac:dyDescent="0.2">
      <c r="A13" s="53" t="s">
        <v>138</v>
      </c>
      <c r="B13" s="60">
        <f t="shared" si="0"/>
        <v>2.1876247504990021</v>
      </c>
      <c r="C13" s="147">
        <f>E13-[1]France!E13</f>
        <v>-308</v>
      </c>
      <c r="D13" s="86">
        <f>F13-[1]France!F13</f>
        <v>-755</v>
      </c>
      <c r="E13" s="56">
        <v>1597</v>
      </c>
      <c r="F13" s="86">
        <v>501</v>
      </c>
      <c r="G13" s="86">
        <v>470</v>
      </c>
      <c r="H13" s="86">
        <v>594</v>
      </c>
      <c r="I13" s="86">
        <v>566</v>
      </c>
      <c r="J13" s="86">
        <v>977</v>
      </c>
      <c r="K13" s="86">
        <v>1198</v>
      </c>
      <c r="L13" s="86">
        <v>832</v>
      </c>
      <c r="M13" s="86">
        <v>927</v>
      </c>
      <c r="N13" s="86">
        <v>1013</v>
      </c>
      <c r="O13" s="88">
        <v>1050</v>
      </c>
    </row>
    <row r="14" spans="1:16" x14ac:dyDescent="0.2">
      <c r="A14" s="53" t="s">
        <v>17</v>
      </c>
      <c r="B14" s="60">
        <f t="shared" si="0"/>
        <v>9.9087114087802186E-3</v>
      </c>
      <c r="C14" s="147">
        <f>E14-[1]France!E14</f>
        <v>-8514</v>
      </c>
      <c r="D14" s="86">
        <f>F14-[1]France!F14</f>
        <v>-8782</v>
      </c>
      <c r="E14" s="56">
        <v>22015</v>
      </c>
      <c r="F14" s="86">
        <v>21799</v>
      </c>
      <c r="G14" s="86">
        <v>20886</v>
      </c>
      <c r="H14" s="86">
        <v>14349</v>
      </c>
      <c r="I14" s="86">
        <v>25001</v>
      </c>
      <c r="J14" s="86">
        <v>17464</v>
      </c>
      <c r="K14" s="86">
        <v>24194</v>
      </c>
      <c r="L14" s="86">
        <v>10352</v>
      </c>
      <c r="M14" s="86">
        <v>14381</v>
      </c>
      <c r="N14" s="86">
        <v>10114</v>
      </c>
      <c r="O14" s="88">
        <v>14999</v>
      </c>
    </row>
    <row r="15" spans="1:16" x14ac:dyDescent="0.2">
      <c r="A15" s="53" t="s">
        <v>130</v>
      </c>
      <c r="B15" s="60">
        <f t="shared" si="0"/>
        <v>2.7137870855148343</v>
      </c>
      <c r="C15" s="147">
        <f>E15-[1]France!E15</f>
        <v>-1003</v>
      </c>
      <c r="D15" s="86">
        <f>F15-[1]France!F15</f>
        <v>-341</v>
      </c>
      <c r="E15" s="56">
        <v>2128</v>
      </c>
      <c r="F15" s="86">
        <v>573</v>
      </c>
      <c r="G15" s="86">
        <v>72</v>
      </c>
      <c r="H15" s="86">
        <v>840</v>
      </c>
      <c r="I15" s="86">
        <v>421</v>
      </c>
      <c r="J15" s="86">
        <v>1125</v>
      </c>
      <c r="K15" s="86">
        <v>1031</v>
      </c>
      <c r="L15" s="86">
        <v>754</v>
      </c>
      <c r="M15" s="86">
        <v>469</v>
      </c>
      <c r="N15" s="86">
        <v>563</v>
      </c>
      <c r="O15" s="88">
        <v>76</v>
      </c>
    </row>
    <row r="16" spans="1:16" x14ac:dyDescent="0.2">
      <c r="A16" s="53" t="s">
        <v>10</v>
      </c>
      <c r="B16" s="60">
        <f t="shared" si="0"/>
        <v>-5.5248618784530384E-2</v>
      </c>
      <c r="C16" s="147">
        <f>E16-[1]France!E16</f>
        <v>-155</v>
      </c>
      <c r="D16" s="86">
        <f>F16-[1]France!F16</f>
        <v>15</v>
      </c>
      <c r="E16" s="56">
        <v>684</v>
      </c>
      <c r="F16" s="86">
        <v>724</v>
      </c>
      <c r="G16" s="86">
        <v>202</v>
      </c>
      <c r="H16" s="86">
        <v>490</v>
      </c>
      <c r="I16" s="86">
        <v>488</v>
      </c>
      <c r="J16" s="86">
        <v>382</v>
      </c>
      <c r="K16" s="86">
        <v>757</v>
      </c>
      <c r="L16" s="86">
        <v>409</v>
      </c>
      <c r="M16" s="86">
        <v>1173</v>
      </c>
      <c r="N16" s="86">
        <v>927</v>
      </c>
      <c r="O16" s="88">
        <v>1570</v>
      </c>
      <c r="P16" s="1"/>
    </row>
    <row r="17" spans="1:17" x14ac:dyDescent="0.2">
      <c r="A17" s="53" t="s">
        <v>129</v>
      </c>
      <c r="B17" s="60">
        <f t="shared" si="0"/>
        <v>1.324421965317919</v>
      </c>
      <c r="C17" s="147">
        <f>E17-[1]France!E17</f>
        <v>-4156</v>
      </c>
      <c r="D17" s="86">
        <f>F17-[1]France!F17</f>
        <v>-3553</v>
      </c>
      <c r="E17" s="56">
        <v>6434</v>
      </c>
      <c r="F17" s="86">
        <v>2768</v>
      </c>
      <c r="G17" s="86">
        <v>2387</v>
      </c>
      <c r="H17" s="86">
        <v>1921</v>
      </c>
      <c r="I17" s="86">
        <v>1781</v>
      </c>
      <c r="J17" s="86">
        <v>1527</v>
      </c>
      <c r="K17" s="86">
        <v>1533</v>
      </c>
      <c r="L17" s="86">
        <v>678</v>
      </c>
      <c r="M17" s="86">
        <v>3056</v>
      </c>
      <c r="N17" s="86">
        <v>1424</v>
      </c>
      <c r="O17" s="88">
        <v>4369</v>
      </c>
      <c r="P17" s="1"/>
    </row>
    <row r="18" spans="1:17" x14ac:dyDescent="0.2">
      <c r="A18" s="53" t="s">
        <v>27</v>
      </c>
      <c r="B18" s="60">
        <f t="shared" si="0"/>
        <v>-0.10231788079470198</v>
      </c>
      <c r="C18" s="147">
        <f>E18-[1]France!E18</f>
        <v>-2042</v>
      </c>
      <c r="D18" s="86">
        <f>F18-[1]France!F18</f>
        <v>-589</v>
      </c>
      <c r="E18" s="56">
        <v>8133</v>
      </c>
      <c r="F18" s="86">
        <v>9060</v>
      </c>
      <c r="G18" s="86">
        <v>6725</v>
      </c>
      <c r="H18" s="86">
        <v>5389</v>
      </c>
      <c r="I18" s="86">
        <v>5314</v>
      </c>
      <c r="J18" s="86">
        <v>2111</v>
      </c>
      <c r="K18" s="86">
        <v>4574</v>
      </c>
      <c r="L18" s="86">
        <v>1184</v>
      </c>
      <c r="M18" s="86">
        <v>4109</v>
      </c>
      <c r="N18" s="86">
        <v>4308</v>
      </c>
      <c r="O18" s="88">
        <v>6201</v>
      </c>
      <c r="P18" s="1"/>
    </row>
    <row r="19" spans="1:17" x14ac:dyDescent="0.2">
      <c r="A19" s="53" t="s">
        <v>128</v>
      </c>
      <c r="B19" s="60">
        <f t="shared" si="0"/>
        <v>0.97706776603968049</v>
      </c>
      <c r="C19" s="147">
        <f>E19-[1]France!E19</f>
        <v>-2461</v>
      </c>
      <c r="D19" s="86">
        <f>F19-[1]France!F19</f>
        <v>-3190</v>
      </c>
      <c r="E19" s="56">
        <v>7673</v>
      </c>
      <c r="F19" s="86">
        <v>3881</v>
      </c>
      <c r="G19" s="86">
        <v>3100</v>
      </c>
      <c r="H19" s="86">
        <v>4071</v>
      </c>
      <c r="I19" s="86">
        <v>2550</v>
      </c>
      <c r="J19" s="86">
        <v>1834</v>
      </c>
      <c r="K19" s="86">
        <v>4344</v>
      </c>
      <c r="L19" s="86">
        <v>263</v>
      </c>
      <c r="M19" s="86">
        <v>1215</v>
      </c>
      <c r="N19" s="86">
        <v>2708</v>
      </c>
      <c r="O19" s="88">
        <v>2</v>
      </c>
    </row>
    <row r="20" spans="1:17" s="16" customFormat="1" x14ac:dyDescent="0.2">
      <c r="A20" s="53" t="s">
        <v>120</v>
      </c>
      <c r="B20" s="60"/>
      <c r="C20" s="147">
        <f>E20-[1]France!E20</f>
        <v>0</v>
      </c>
      <c r="D20" s="86">
        <f>F20-[1]France!F20</f>
        <v>0</v>
      </c>
      <c r="E20" s="56"/>
      <c r="F20" s="86"/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3</v>
      </c>
      <c r="M20" s="86">
        <v>12</v>
      </c>
      <c r="N20" s="86">
        <v>36</v>
      </c>
      <c r="O20" s="88">
        <v>3521</v>
      </c>
      <c r="Q20"/>
    </row>
    <row r="21" spans="1:17" x14ac:dyDescent="0.2">
      <c r="A21" s="53" t="s">
        <v>89</v>
      </c>
      <c r="B21" s="60">
        <f t="shared" ref="B21:B26" si="1">(E21-F21)/F21</f>
        <v>-0.12005335704757671</v>
      </c>
      <c r="C21" s="147">
        <f>E21-[1]France!E21</f>
        <v>-2658</v>
      </c>
      <c r="D21" s="86">
        <f>F21-[1]France!F21</f>
        <v>-2470</v>
      </c>
      <c r="E21" s="56">
        <v>1979</v>
      </c>
      <c r="F21" s="86">
        <v>2249</v>
      </c>
      <c r="G21" s="86">
        <v>785</v>
      </c>
      <c r="H21" s="86">
        <v>1681</v>
      </c>
      <c r="I21" s="86">
        <v>2227</v>
      </c>
      <c r="J21" s="86">
        <v>1133</v>
      </c>
      <c r="K21" s="86">
        <v>6895</v>
      </c>
      <c r="L21" s="86">
        <v>661</v>
      </c>
      <c r="M21" s="86">
        <v>4778</v>
      </c>
      <c r="N21" s="86">
        <v>3287</v>
      </c>
      <c r="O21" s="88">
        <v>3359</v>
      </c>
    </row>
    <row r="22" spans="1:17" x14ac:dyDescent="0.2">
      <c r="A22" s="53" t="s">
        <v>116</v>
      </c>
      <c r="B22" s="60">
        <f t="shared" si="1"/>
        <v>1.1767068273092369</v>
      </c>
      <c r="C22" s="147">
        <f>E22-[1]France!E22</f>
        <v>-196</v>
      </c>
      <c r="D22" s="86">
        <f>F22-[1]France!F22</f>
        <v>0</v>
      </c>
      <c r="E22" s="56">
        <v>542</v>
      </c>
      <c r="F22" s="86">
        <v>249</v>
      </c>
      <c r="G22" s="86">
        <v>94</v>
      </c>
      <c r="H22" s="86">
        <v>37</v>
      </c>
      <c r="I22" s="86">
        <v>207</v>
      </c>
      <c r="J22" s="86">
        <v>31</v>
      </c>
      <c r="K22" s="86">
        <v>332</v>
      </c>
      <c r="L22" s="86">
        <v>24</v>
      </c>
      <c r="M22" s="86">
        <v>628</v>
      </c>
      <c r="N22" s="86">
        <v>29</v>
      </c>
      <c r="O22" s="88">
        <v>385</v>
      </c>
    </row>
    <row r="23" spans="1:17" x14ac:dyDescent="0.2">
      <c r="A23" s="53" t="s">
        <v>131</v>
      </c>
      <c r="B23" s="60">
        <f t="shared" si="1"/>
        <v>6.9739952718676126E-2</v>
      </c>
      <c r="C23" s="147">
        <f>E23-[1]France!E23</f>
        <v>-2481</v>
      </c>
      <c r="D23" s="86">
        <f>F23-[1]France!F23</f>
        <v>-1223</v>
      </c>
      <c r="E23" s="56">
        <v>6335</v>
      </c>
      <c r="F23" s="86">
        <v>5922</v>
      </c>
      <c r="G23" s="86">
        <v>3875</v>
      </c>
      <c r="H23" s="86">
        <v>5493</v>
      </c>
      <c r="I23" s="86">
        <v>2616</v>
      </c>
      <c r="J23" s="86">
        <v>4442</v>
      </c>
      <c r="K23" s="86">
        <v>3763</v>
      </c>
      <c r="L23" s="86">
        <v>1781</v>
      </c>
      <c r="M23" s="86">
        <v>3591</v>
      </c>
      <c r="N23" s="86">
        <v>1077</v>
      </c>
      <c r="O23" s="88">
        <v>1035</v>
      </c>
    </row>
    <row r="24" spans="1:17" x14ac:dyDescent="0.2">
      <c r="A24" s="53" t="s">
        <v>126</v>
      </c>
      <c r="B24" s="60">
        <f t="shared" si="1"/>
        <v>-0.22950819672131148</v>
      </c>
      <c r="C24" s="147">
        <f>E24-[1]France!E24</f>
        <v>-449</v>
      </c>
      <c r="D24" s="86">
        <f>F24-[1]France!F24</f>
        <v>-638</v>
      </c>
      <c r="E24" s="56">
        <v>658</v>
      </c>
      <c r="F24" s="86">
        <v>854</v>
      </c>
      <c r="G24" s="86">
        <v>262</v>
      </c>
      <c r="H24" s="86">
        <v>1276</v>
      </c>
      <c r="I24" s="86">
        <v>535</v>
      </c>
      <c r="J24" s="86">
        <v>494</v>
      </c>
      <c r="K24" s="86">
        <v>1118</v>
      </c>
      <c r="L24" s="86">
        <v>0</v>
      </c>
      <c r="M24" s="86">
        <v>910</v>
      </c>
      <c r="N24" s="86">
        <v>408</v>
      </c>
      <c r="O24" s="88">
        <v>974</v>
      </c>
    </row>
    <row r="25" spans="1:17" ht="13.5" thickBot="1" x14ac:dyDescent="0.25">
      <c r="A25" s="54" t="s">
        <v>6</v>
      </c>
      <c r="B25" s="61">
        <f t="shared" si="1"/>
        <v>-0.27055180180180183</v>
      </c>
      <c r="C25" s="148">
        <f>E25-[1]France!E25</f>
        <v>-2256</v>
      </c>
      <c r="D25" s="87">
        <f>F25-[1]France!F25</f>
        <v>-1902</v>
      </c>
      <c r="E25" s="57">
        <v>2591</v>
      </c>
      <c r="F25" s="87">
        <v>3552</v>
      </c>
      <c r="G25" s="87">
        <v>675</v>
      </c>
      <c r="H25" s="87">
        <v>824</v>
      </c>
      <c r="I25" s="87">
        <v>630</v>
      </c>
      <c r="J25" s="87">
        <v>891</v>
      </c>
      <c r="K25" s="87">
        <v>2872</v>
      </c>
      <c r="L25" s="87">
        <v>2870</v>
      </c>
      <c r="M25" s="87">
        <v>1698</v>
      </c>
      <c r="N25" s="87">
        <v>3061</v>
      </c>
      <c r="O25" s="89">
        <v>5121</v>
      </c>
    </row>
    <row r="26" spans="1:17" ht="13.5" thickBot="1" x14ac:dyDescent="0.25">
      <c r="A26" s="52" t="s">
        <v>93</v>
      </c>
      <c r="B26" s="97">
        <f t="shared" si="1"/>
        <v>0.16770760340817922</v>
      </c>
      <c r="C26" s="155">
        <f>E26-[1]France!E26</f>
        <v>-100903</v>
      </c>
      <c r="D26" s="109">
        <f>F26-[1]France!F26</f>
        <v>-108071</v>
      </c>
      <c r="E26" s="135">
        <f>SUM(E2:E25)</f>
        <v>229966</v>
      </c>
      <c r="F26" s="109">
        <f>SUM(F2:F25)</f>
        <v>196938</v>
      </c>
      <c r="G26" s="109">
        <f>SUM(G2:G25)</f>
        <v>154807</v>
      </c>
      <c r="H26" s="110">
        <f>SUM(H2:H25)</f>
        <v>195927</v>
      </c>
      <c r="I26" s="110">
        <f>SUM(I2:I25)</f>
        <v>187383</v>
      </c>
      <c r="J26" s="110">
        <f t="shared" ref="J26:O26" si="2">SUM(J2:J25)</f>
        <v>166501</v>
      </c>
      <c r="K26" s="110">
        <f t="shared" si="2"/>
        <v>229824</v>
      </c>
      <c r="L26" s="110">
        <f t="shared" si="2"/>
        <v>78688</v>
      </c>
      <c r="M26" s="110">
        <f t="shared" si="2"/>
        <v>176599</v>
      </c>
      <c r="N26" s="110">
        <f t="shared" si="2"/>
        <v>167266</v>
      </c>
      <c r="O26" s="115">
        <f t="shared" si="2"/>
        <v>193458</v>
      </c>
    </row>
    <row r="28" spans="1:17" s="63" customFormat="1" ht="13.5" thickBot="1" x14ac:dyDescent="0.25">
      <c r="A28" s="96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7" s="63" customFormat="1" ht="13.5" thickBot="1" x14ac:dyDescent="0.25">
      <c r="A29" s="52" t="s">
        <v>25</v>
      </c>
      <c r="B29" s="32" t="s">
        <v>176</v>
      </c>
      <c r="C29" s="62" t="s">
        <v>177</v>
      </c>
      <c r="D29" s="99" t="s">
        <v>174</v>
      </c>
      <c r="E29" s="129">
        <v>43952</v>
      </c>
      <c r="F29" s="137">
        <v>43586</v>
      </c>
      <c r="G29" s="137">
        <v>43221</v>
      </c>
      <c r="H29" s="33">
        <v>42856</v>
      </c>
      <c r="I29" s="33">
        <v>42491</v>
      </c>
      <c r="J29" s="33">
        <v>42125</v>
      </c>
      <c r="K29" s="33">
        <v>41760</v>
      </c>
      <c r="L29" s="33">
        <v>41395</v>
      </c>
      <c r="M29" s="33">
        <v>41030</v>
      </c>
      <c r="N29" s="33">
        <v>40664</v>
      </c>
      <c r="O29" s="49">
        <v>40299</v>
      </c>
    </row>
    <row r="30" spans="1:17" x14ac:dyDescent="0.2">
      <c r="A30" s="66" t="s">
        <v>139</v>
      </c>
      <c r="B30" s="60">
        <f t="shared" ref="B30:B38" si="3">(E30-F30)/F30</f>
        <v>-0.26600985221674878</v>
      </c>
      <c r="C30" s="147">
        <f>E30-[1]France!E30</f>
        <v>-30</v>
      </c>
      <c r="D30" s="86">
        <f>F30-[1]France!F30</f>
        <v>-68</v>
      </c>
      <c r="E30" s="56">
        <v>149</v>
      </c>
      <c r="F30" s="86">
        <v>203</v>
      </c>
      <c r="G30" s="86">
        <v>310</v>
      </c>
      <c r="H30" s="128">
        <v>175</v>
      </c>
      <c r="I30" s="9">
        <v>93</v>
      </c>
      <c r="J30" s="9">
        <v>644</v>
      </c>
      <c r="K30">
        <v>1664</v>
      </c>
      <c r="L30" s="9">
        <v>11</v>
      </c>
      <c r="M30">
        <v>1315</v>
      </c>
      <c r="N30" s="128"/>
      <c r="O30" s="122"/>
    </row>
    <row r="31" spans="1:17" x14ac:dyDescent="0.2">
      <c r="A31" s="66" t="s">
        <v>140</v>
      </c>
      <c r="B31" s="60"/>
      <c r="C31" s="147">
        <f>E31-[1]France!E31</f>
        <v>0</v>
      </c>
      <c r="D31" s="86">
        <f>F31-[1]France!F31</f>
        <v>0</v>
      </c>
      <c r="E31" s="56"/>
      <c r="F31" s="86"/>
      <c r="G31" s="86">
        <v>0</v>
      </c>
      <c r="H31" s="128"/>
      <c r="I31" s="128">
        <v>0</v>
      </c>
      <c r="J31" s="128"/>
      <c r="K31" s="128"/>
      <c r="L31" s="128"/>
      <c r="M31" s="128"/>
      <c r="N31" s="128"/>
      <c r="O31" s="122"/>
    </row>
    <row r="32" spans="1:17" x14ac:dyDescent="0.2">
      <c r="A32" s="66" t="s">
        <v>7</v>
      </c>
      <c r="B32" s="60">
        <f t="shared" si="3"/>
        <v>-0.26444444444444443</v>
      </c>
      <c r="C32" s="147">
        <f>E32-[1]France!E32</f>
        <v>-333</v>
      </c>
      <c r="D32" s="86">
        <f>F32-[1]France!F32</f>
        <v>-424</v>
      </c>
      <c r="E32" s="56">
        <v>331</v>
      </c>
      <c r="F32" s="86">
        <v>450</v>
      </c>
      <c r="G32" s="86">
        <v>378</v>
      </c>
      <c r="H32" s="86">
        <v>225</v>
      </c>
      <c r="I32" s="86">
        <v>124</v>
      </c>
      <c r="J32" s="86">
        <v>85</v>
      </c>
      <c r="K32" s="86">
        <v>46</v>
      </c>
      <c r="L32" s="86">
        <v>0</v>
      </c>
      <c r="M32" s="86">
        <v>739</v>
      </c>
      <c r="N32" s="86"/>
      <c r="O32" s="88"/>
    </row>
    <row r="33" spans="1:15" x14ac:dyDescent="0.2">
      <c r="A33" s="66" t="s">
        <v>94</v>
      </c>
      <c r="B33" s="60">
        <f t="shared" si="3"/>
        <v>-0.69444444444444442</v>
      </c>
      <c r="C33" s="147">
        <f>E33-[1]France!E33</f>
        <v>-20</v>
      </c>
      <c r="D33" s="86">
        <f>F33-[1]France!F33</f>
        <v>-158</v>
      </c>
      <c r="E33" s="56">
        <v>22</v>
      </c>
      <c r="F33" s="86">
        <v>72</v>
      </c>
      <c r="G33" s="86">
        <v>87</v>
      </c>
      <c r="H33" s="128">
        <v>18</v>
      </c>
      <c r="I33" s="128">
        <v>56</v>
      </c>
      <c r="J33" s="128">
        <v>3</v>
      </c>
      <c r="K33" s="128">
        <v>6</v>
      </c>
      <c r="L33" s="128">
        <v>0</v>
      </c>
      <c r="M33" s="128">
        <v>39</v>
      </c>
      <c r="N33" s="86"/>
      <c r="O33" s="88"/>
    </row>
    <row r="34" spans="1:15" x14ac:dyDescent="0.2">
      <c r="A34" s="66" t="s">
        <v>141</v>
      </c>
      <c r="B34" s="60"/>
      <c r="C34" s="147">
        <f>E34-[1]France!E34</f>
        <v>0</v>
      </c>
      <c r="D34" s="86">
        <f>F34-[1]France!F34</f>
        <v>0</v>
      </c>
      <c r="E34" s="56"/>
      <c r="F34" s="86"/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86"/>
      <c r="O34" s="88"/>
    </row>
    <row r="35" spans="1:15" x14ac:dyDescent="0.2">
      <c r="A35" s="66" t="s">
        <v>142</v>
      </c>
      <c r="B35" s="60"/>
      <c r="C35" s="147">
        <f>E35-[1]France!E35</f>
        <v>-21</v>
      </c>
      <c r="D35" s="86">
        <f>F35-[1]France!F35</f>
        <v>-305</v>
      </c>
      <c r="E35" s="56"/>
      <c r="F35" s="86"/>
      <c r="G35" s="86">
        <v>0</v>
      </c>
      <c r="H35" s="86">
        <v>3</v>
      </c>
      <c r="I35" s="86">
        <v>0</v>
      </c>
      <c r="J35" s="86">
        <v>4</v>
      </c>
      <c r="K35" s="86">
        <v>11</v>
      </c>
      <c r="L35" s="86">
        <v>0</v>
      </c>
      <c r="M35" s="86">
        <v>0</v>
      </c>
      <c r="N35" s="86"/>
      <c r="O35" s="88"/>
    </row>
    <row r="36" spans="1:15" x14ac:dyDescent="0.2">
      <c r="A36" s="66" t="s">
        <v>143</v>
      </c>
      <c r="B36" s="60"/>
      <c r="C36" s="147">
        <f>E36-[1]France!E36</f>
        <v>0</v>
      </c>
      <c r="D36" s="86">
        <f>F36-[1]France!F36</f>
        <v>0</v>
      </c>
      <c r="E36" s="56"/>
      <c r="F36" s="86"/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/>
      <c r="O36" s="88"/>
    </row>
    <row r="37" spans="1:15" ht="13.5" thickBot="1" x14ac:dyDescent="0.25">
      <c r="A37" s="70" t="s">
        <v>6</v>
      </c>
      <c r="B37" s="61">
        <f t="shared" si="3"/>
        <v>0.79166666666666663</v>
      </c>
      <c r="C37" s="148">
        <f>E37-[1]France!E37</f>
        <v>-31</v>
      </c>
      <c r="D37" s="87">
        <f>F37-[1]France!F37</f>
        <v>-185</v>
      </c>
      <c r="E37" s="57">
        <v>43</v>
      </c>
      <c r="F37" s="87">
        <v>24</v>
      </c>
      <c r="G37" s="87">
        <v>0</v>
      </c>
      <c r="H37" s="87">
        <v>43</v>
      </c>
      <c r="I37" s="86">
        <v>2</v>
      </c>
      <c r="J37" s="86">
        <v>2</v>
      </c>
      <c r="K37" s="86">
        <v>87</v>
      </c>
      <c r="L37" s="86">
        <v>0</v>
      </c>
      <c r="M37" s="86">
        <v>1</v>
      </c>
      <c r="N37" s="86"/>
      <c r="O37" s="88"/>
    </row>
    <row r="38" spans="1:15" ht="13.5" thickBot="1" x14ac:dyDescent="0.25">
      <c r="A38" s="52" t="s">
        <v>93</v>
      </c>
      <c r="B38" s="97">
        <f t="shared" si="3"/>
        <v>-0.27236315086782376</v>
      </c>
      <c r="C38" s="155">
        <f>E38-[1]France!E38</f>
        <v>-435</v>
      </c>
      <c r="D38" s="109">
        <f>F38-[1]France!F38</f>
        <v>-1140</v>
      </c>
      <c r="E38" s="135">
        <f>SUM(E30:E37)</f>
        <v>545</v>
      </c>
      <c r="F38" s="109">
        <f>SUM(F30:F37)</f>
        <v>749</v>
      </c>
      <c r="G38" s="109">
        <f>SUM(G30:G37)</f>
        <v>775</v>
      </c>
      <c r="H38" s="42">
        <f t="shared" ref="H38:M38" si="4">SUM(H30:H37)</f>
        <v>464</v>
      </c>
      <c r="I38" s="110">
        <f t="shared" si="4"/>
        <v>275</v>
      </c>
      <c r="J38" s="110">
        <f t="shared" si="4"/>
        <v>738</v>
      </c>
      <c r="K38" s="110">
        <f t="shared" si="4"/>
        <v>1814</v>
      </c>
      <c r="L38" s="110">
        <f t="shared" si="4"/>
        <v>11</v>
      </c>
      <c r="M38" s="110">
        <f t="shared" si="4"/>
        <v>2094</v>
      </c>
      <c r="N38" s="110"/>
      <c r="O38" s="115"/>
    </row>
  </sheetData>
  <pageMargins left="0.75" right="0.75" top="1" bottom="1" header="0.5" footer="0.5"/>
  <pageSetup paperSize="9" scale="66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17</vt:i4>
      </vt:variant>
      <vt:variant>
        <vt:lpstr>Benoemde bereiken</vt:lpstr>
      </vt:variant>
      <vt:variant>
        <vt:i4>3</vt:i4>
      </vt:variant>
    </vt:vector>
  </HeadingPairs>
  <TitlesOfParts>
    <vt:vector size="20" baseType="lpstr">
      <vt:lpstr>Intro</vt:lpstr>
      <vt:lpstr>US</vt:lpstr>
      <vt:lpstr>EU - country</vt:lpstr>
      <vt:lpstr>EU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 - country'!Afdrukbereik</vt:lpstr>
      <vt:lpstr>'EU - variety'!Afdrukbereik</vt:lpstr>
      <vt:lpstr>US!Afdrukbereik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Daphne van Doorn</dc:creator>
  <cp:lastModifiedBy>Gerben Daalmans</cp:lastModifiedBy>
  <cp:lastPrinted>2016-06-07T13:55:02Z</cp:lastPrinted>
  <dcterms:created xsi:type="dcterms:W3CDTF">2006-12-13T13:34:27Z</dcterms:created>
  <dcterms:modified xsi:type="dcterms:W3CDTF">2020-06-01T11:24:12Z</dcterms:modified>
</cp:coreProperties>
</file>